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БЮДЖЕТ 2023-2025\УТОЧНЕНИЯ\Уточнение 3\"/>
    </mc:Choice>
  </mc:AlternateContent>
  <bookViews>
    <workbookView xWindow="-105" yWindow="-105" windowWidth="23250" windowHeight="12570" tabRatio="774" activeTab="11"/>
  </bookViews>
  <sheets>
    <sheet name="Прил 1" sheetId="84" r:id="rId1"/>
    <sheet name="Прил 2" sheetId="105" r:id="rId2"/>
    <sheet name="Прил 3" sheetId="101" r:id="rId3"/>
    <sheet name="Прил 4" sheetId="90" r:id="rId4"/>
    <sheet name="Прил 5" sheetId="102" r:id="rId5"/>
    <sheet name="Прил 6" sheetId="92" r:id="rId6"/>
    <sheet name="Прил 7" sheetId="103" r:id="rId7"/>
    <sheet name="Прил 8" sheetId="94" r:id="rId8"/>
    <sheet name="Прил 9" sheetId="104" r:id="rId9"/>
    <sheet name="Прил 10" sheetId="106" r:id="rId10"/>
    <sheet name="Прил 11" sheetId="99" r:id="rId11"/>
    <sheet name="Прил 12" sheetId="107" r:id="rId12"/>
  </sheets>
  <definedNames>
    <definedName name="__bookmark_1" localSheetId="9">'Прил 10'!$A$20:$D$24</definedName>
    <definedName name="__bookmark_1" localSheetId="4">'Прил 5'!$A$20:$J$312</definedName>
    <definedName name="__bookmark_1" localSheetId="5">'Прил 6'!$A$20:$J$337</definedName>
    <definedName name="__bookmark_1" localSheetId="6">'Прил 7'!$A$19:$K$314</definedName>
    <definedName name="__bookmark_1" localSheetId="7">'Прил 8'!$A$21:$I$133</definedName>
    <definedName name="__bookmark_1" localSheetId="8">'Прил 9'!$A$20:$J$128</definedName>
    <definedName name="__bookmark_1">'Прил 4'!$A$20:$I$329</definedName>
    <definedName name="_xlnm._FilterDatabase" localSheetId="1" hidden="1">'Прил 2'!$A$24:$D$51</definedName>
    <definedName name="_xlnm._FilterDatabase" localSheetId="5" hidden="1">'Прил 6'!$A$21:$J$21</definedName>
    <definedName name="_xlnm._FilterDatabase" localSheetId="6" hidden="1">'Прил 7'!$A$20:$K$20</definedName>
    <definedName name="_xlnm.Print_Titles" localSheetId="0">'Прил 1'!$23:$23</definedName>
    <definedName name="_xlnm.Print_Titles" localSheetId="9">'Прил 10'!$20:$21</definedName>
    <definedName name="_xlnm.Print_Titles" localSheetId="10">'Прил 11'!$19:$19</definedName>
    <definedName name="_xlnm.Print_Titles" localSheetId="11">'Прил 12'!$19:$20</definedName>
    <definedName name="_xlnm.Print_Titles" localSheetId="1">'Прил 2'!$24:$24</definedName>
    <definedName name="_xlnm.Print_Titles" localSheetId="3">'Прил 4'!$20:$21</definedName>
    <definedName name="_xlnm.Print_Titles" localSheetId="4">'Прил 5'!$20:$21</definedName>
    <definedName name="_xlnm.Print_Titles" localSheetId="5">'Прил 6'!$20:$20</definedName>
    <definedName name="_xlnm.Print_Titles" localSheetId="6">'Прил 7'!$19:$19</definedName>
    <definedName name="_xlnm.Print_Titles" localSheetId="7">'Прил 8'!$21:$21</definedName>
    <definedName name="_xlnm.Print_Titles" localSheetId="8">'Прил 9'!$20:$20</definedName>
    <definedName name="_xlnm.Print_Area" localSheetId="0">'Прил 1'!$A$1:$C$51</definedName>
    <definedName name="_xlnm.Print_Area" localSheetId="9">'Прил 10'!$A$1:$D$24</definedName>
    <definedName name="_xlnm.Print_Area" localSheetId="10">'Прил 11'!$A$1:$C$29</definedName>
    <definedName name="_xlnm.Print_Area" localSheetId="11">'Прил 12'!$A$1:$D$30</definedName>
    <definedName name="_xlnm.Print_Area" localSheetId="1">'Прил 2'!$A$1:$D$51</definedName>
    <definedName name="_xlnm.Print_Area" localSheetId="2">'Прил 3'!$A$1:$C$63</definedName>
    <definedName name="_xlnm.Print_Area" localSheetId="3">'Прил 4'!$A$1:$I$352</definedName>
    <definedName name="_xlnm.Print_Area" localSheetId="4">'Прил 5'!$A$1:$J$312</definedName>
    <definedName name="_xlnm.Print_Area" localSheetId="5">'Прил 6'!$A$1:$J$364</definedName>
    <definedName name="_xlnm.Print_Area" localSheetId="6">'Прил 7'!$A$1:$K$314</definedName>
    <definedName name="ОбластьИмпорта" localSheetId="0">'Прил 1'!#REF!</definedName>
    <definedName name="ОбластьИмпорта" localSheetId="1">'Прил 2'!#REF!</definedName>
    <definedName name="ОбластьИмпорта" localSheetId="2">'Прил 3'!#REF!</definedName>
  </definedNames>
  <calcPr calcId="152511"/>
</workbook>
</file>

<file path=xl/calcChain.xml><?xml version="1.0" encoding="utf-8"?>
<calcChain xmlns="http://schemas.openxmlformats.org/spreadsheetml/2006/main">
  <c r="J236" i="92" l="1"/>
  <c r="J232" i="92"/>
  <c r="J315" i="102" l="1"/>
  <c r="I315" i="102"/>
  <c r="K328" i="103"/>
  <c r="J328" i="103"/>
  <c r="I129" i="102"/>
  <c r="I127" i="102"/>
  <c r="J84" i="92"/>
  <c r="J93" i="92"/>
  <c r="J87" i="92"/>
  <c r="D23" i="106"/>
  <c r="C23" i="106"/>
  <c r="D25" i="106"/>
  <c r="C25" i="106"/>
  <c r="D24" i="106"/>
  <c r="D26" i="106" s="1"/>
  <c r="C24" i="106"/>
  <c r="B23" i="106"/>
  <c r="B24" i="106" s="1"/>
  <c r="I89" i="94"/>
  <c r="I91" i="94"/>
  <c r="D26" i="107"/>
  <c r="D25" i="107" s="1"/>
  <c r="D24" i="107" s="1"/>
  <c r="D23" i="107" s="1"/>
  <c r="C26" i="107"/>
  <c r="C25" i="107" s="1"/>
  <c r="C24" i="107" s="1"/>
  <c r="C23" i="107" s="1"/>
  <c r="K255" i="103"/>
  <c r="J255" i="103"/>
  <c r="J203" i="103"/>
  <c r="K203" i="103"/>
  <c r="K199" i="103"/>
  <c r="J199" i="103"/>
  <c r="J179" i="92"/>
  <c r="B22" i="106"/>
  <c r="C26" i="106" l="1"/>
  <c r="I148" i="90" l="1"/>
  <c r="I150" i="90"/>
  <c r="I149" i="90" s="1"/>
  <c r="I347" i="90"/>
  <c r="I346" i="90"/>
  <c r="J127" i="102"/>
  <c r="J126" i="102" s="1"/>
  <c r="J125" i="102" s="1"/>
  <c r="I126" i="102"/>
  <c r="D39" i="105"/>
  <c r="C39" i="105"/>
  <c r="K116" i="103"/>
  <c r="J116" i="103"/>
  <c r="K113" i="103"/>
  <c r="J113" i="103"/>
  <c r="C26" i="84"/>
  <c r="J342" i="92"/>
  <c r="J363" i="92"/>
  <c r="J357" i="92"/>
  <c r="J343" i="92"/>
  <c r="J324" i="92"/>
  <c r="J292" i="92"/>
  <c r="J244" i="92"/>
  <c r="J238" i="92"/>
  <c r="J154" i="92"/>
  <c r="J164" i="92"/>
  <c r="J156" i="92"/>
  <c r="J76" i="92"/>
  <c r="J70" i="92"/>
  <c r="J230" i="92"/>
  <c r="J212" i="92"/>
  <c r="J194" i="92"/>
  <c r="J186" i="92" l="1"/>
  <c r="J167" i="92"/>
  <c r="J152" i="92"/>
  <c r="J161" i="92"/>
  <c r="J141" i="92"/>
  <c r="J145" i="92"/>
  <c r="J142" i="92"/>
  <c r="J135" i="92"/>
  <c r="J90" i="92"/>
  <c r="J74" i="92"/>
  <c r="J265" i="92" l="1"/>
  <c r="J256" i="92"/>
  <c r="J255" i="92"/>
  <c r="D40" i="105"/>
  <c r="C40" i="105"/>
  <c r="C37" i="84"/>
  <c r="C38" i="84"/>
  <c r="C39" i="84"/>
  <c r="C50" i="84" l="1"/>
  <c r="D48" i="105"/>
  <c r="C48" i="105"/>
  <c r="C49" i="84"/>
  <c r="D45" i="105"/>
  <c r="D44" i="105" s="1"/>
  <c r="C45" i="105"/>
  <c r="C44" i="105" s="1"/>
  <c r="D42" i="105"/>
  <c r="C42" i="105"/>
  <c r="D37" i="105"/>
  <c r="D36" i="105" s="1"/>
  <c r="D25" i="105" s="1"/>
  <c r="C37" i="105"/>
  <c r="C36" i="105" s="1"/>
  <c r="C25" i="105" s="1"/>
  <c r="D33" i="105"/>
  <c r="C33" i="105"/>
  <c r="D30" i="105"/>
  <c r="C30" i="105"/>
  <c r="D28" i="105"/>
  <c r="C28" i="105"/>
  <c r="D26" i="105"/>
  <c r="C26" i="105"/>
  <c r="C51" i="105" l="1"/>
  <c r="D51" i="105"/>
  <c r="J286" i="92" l="1"/>
  <c r="I144" i="90" l="1"/>
  <c r="I143" i="90" s="1"/>
  <c r="K284" i="103"/>
  <c r="J284" i="103"/>
  <c r="K288" i="103"/>
  <c r="J288" i="103"/>
  <c r="J326" i="92"/>
  <c r="J284" i="92"/>
  <c r="J154" i="102" l="1"/>
  <c r="I154" i="102"/>
  <c r="J276" i="102" l="1"/>
  <c r="I276" i="102"/>
  <c r="J271" i="102"/>
  <c r="I271" i="102"/>
  <c r="J235" i="102"/>
  <c r="J190" i="102" l="1"/>
  <c r="I190" i="102"/>
  <c r="K201" i="103" l="1"/>
  <c r="J56" i="104" s="1"/>
  <c r="J201" i="103"/>
  <c r="J249" i="103"/>
  <c r="J127" i="104"/>
  <c r="I127" i="104"/>
  <c r="J119" i="104"/>
  <c r="I119" i="104"/>
  <c r="J115" i="104"/>
  <c r="J116" i="104"/>
  <c r="I116" i="104"/>
  <c r="I115" i="104"/>
  <c r="J112" i="104"/>
  <c r="I112" i="104"/>
  <c r="J109" i="104"/>
  <c r="I109" i="104"/>
  <c r="J106" i="104"/>
  <c r="I106" i="104"/>
  <c r="J104" i="104"/>
  <c r="I104" i="104"/>
  <c r="J99" i="104"/>
  <c r="J101" i="104"/>
  <c r="J100" i="104" s="1"/>
  <c r="I101" i="104"/>
  <c r="I99" i="104"/>
  <c r="J88" i="104"/>
  <c r="J90" i="104"/>
  <c r="J89" i="104" s="1"/>
  <c r="J92" i="104"/>
  <c r="J91" i="104" s="1"/>
  <c r="J94" i="104"/>
  <c r="J93" i="104" s="1"/>
  <c r="J96" i="104"/>
  <c r="J95" i="104" s="1"/>
  <c r="I96" i="104"/>
  <c r="I94" i="104"/>
  <c r="I92" i="104"/>
  <c r="I90" i="104"/>
  <c r="I88" i="104"/>
  <c r="J84" i="104"/>
  <c r="I84" i="104"/>
  <c r="J80" i="104"/>
  <c r="J81" i="104"/>
  <c r="J82" i="104"/>
  <c r="I82" i="104"/>
  <c r="I81" i="104"/>
  <c r="I80" i="104"/>
  <c r="J76" i="104"/>
  <c r="J77" i="104"/>
  <c r="J78" i="104"/>
  <c r="I78" i="104"/>
  <c r="I77" i="104"/>
  <c r="I76" i="104"/>
  <c r="J74" i="104"/>
  <c r="I74" i="104"/>
  <c r="J71" i="104"/>
  <c r="J72" i="104"/>
  <c r="I72" i="104"/>
  <c r="I71" i="104"/>
  <c r="J68" i="104"/>
  <c r="I68" i="104"/>
  <c r="J65" i="104"/>
  <c r="I65" i="104"/>
  <c r="J61" i="104"/>
  <c r="J62" i="104"/>
  <c r="J63" i="104"/>
  <c r="I63" i="104"/>
  <c r="I62" i="104"/>
  <c r="I61" i="104"/>
  <c r="J52" i="104"/>
  <c r="J53" i="104"/>
  <c r="J54" i="104"/>
  <c r="J55" i="104"/>
  <c r="J57" i="104"/>
  <c r="J59" i="104"/>
  <c r="I59" i="104"/>
  <c r="I57" i="104"/>
  <c r="I56" i="104"/>
  <c r="I55" i="104"/>
  <c r="I54" i="104"/>
  <c r="I53" i="104"/>
  <c r="I52" i="104"/>
  <c r="J49" i="104"/>
  <c r="J50" i="104"/>
  <c r="I50" i="104"/>
  <c r="I49" i="104"/>
  <c r="J41" i="104"/>
  <c r="J44" i="104"/>
  <c r="J45" i="104"/>
  <c r="J46" i="104"/>
  <c r="I46" i="104"/>
  <c r="I45" i="104"/>
  <c r="I44" i="104"/>
  <c r="I41" i="104"/>
  <c r="J36" i="104"/>
  <c r="J37" i="104"/>
  <c r="J38" i="104"/>
  <c r="I38" i="104"/>
  <c r="I36" i="104"/>
  <c r="J34" i="104"/>
  <c r="I34" i="104"/>
  <c r="J30" i="104"/>
  <c r="J31" i="104"/>
  <c r="J32" i="104"/>
  <c r="I32" i="104"/>
  <c r="I31" i="104"/>
  <c r="I30" i="104"/>
  <c r="J23" i="104"/>
  <c r="J24" i="104"/>
  <c r="J25" i="104"/>
  <c r="J27" i="104"/>
  <c r="J26" i="104" s="1"/>
  <c r="I27" i="104"/>
  <c r="I25" i="104"/>
  <c r="I24" i="104"/>
  <c r="I23" i="104"/>
  <c r="J307" i="102"/>
  <c r="J309" i="102"/>
  <c r="J308" i="102" s="1"/>
  <c r="J311" i="102"/>
  <c r="J310" i="102" s="1"/>
  <c r="I311" i="102"/>
  <c r="I309" i="102"/>
  <c r="I307" i="102"/>
  <c r="J297" i="102"/>
  <c r="J301" i="102"/>
  <c r="I301" i="102"/>
  <c r="I297" i="102"/>
  <c r="J287" i="102"/>
  <c r="J289" i="102"/>
  <c r="J288" i="102" s="1"/>
  <c r="J291" i="102"/>
  <c r="J290" i="102" s="1"/>
  <c r="I291" i="102"/>
  <c r="I289" i="102"/>
  <c r="I287" i="102"/>
  <c r="J282" i="102"/>
  <c r="I282" i="102"/>
  <c r="J280" i="102"/>
  <c r="I280" i="102"/>
  <c r="J268" i="102"/>
  <c r="I268" i="102" l="1"/>
  <c r="J262" i="102"/>
  <c r="I262" i="102"/>
  <c r="J260" i="102"/>
  <c r="I260" i="102"/>
  <c r="J255" i="102"/>
  <c r="I255" i="102"/>
  <c r="J250" i="102"/>
  <c r="I250" i="102"/>
  <c r="J247" i="102"/>
  <c r="I247" i="102"/>
  <c r="J240" i="102"/>
  <c r="J241" i="102"/>
  <c r="J242" i="102"/>
  <c r="I242" i="102"/>
  <c r="I241" i="102"/>
  <c r="I240" i="102"/>
  <c r="J198" i="102"/>
  <c r="J201" i="102"/>
  <c r="J200" i="102" s="1"/>
  <c r="J203" i="102"/>
  <c r="J202" i="102" s="1"/>
  <c r="J206" i="102"/>
  <c r="J205" i="102" s="1"/>
  <c r="J208" i="102"/>
  <c r="J207" i="102" s="1"/>
  <c r="J210" i="102"/>
  <c r="J209" i="102" s="1"/>
  <c r="J212" i="102"/>
  <c r="J211" i="102" s="1"/>
  <c r="J214" i="102"/>
  <c r="J213" i="102" s="1"/>
  <c r="J216" i="102"/>
  <c r="J215" i="102" s="1"/>
  <c r="J217" i="102"/>
  <c r="J220" i="102"/>
  <c r="J219" i="102" s="1"/>
  <c r="J224" i="102"/>
  <c r="J223" i="102" s="1"/>
  <c r="J227" i="102"/>
  <c r="J226" i="102" s="1"/>
  <c r="J231" i="102"/>
  <c r="J230" i="102" s="1"/>
  <c r="J229" i="102" s="1"/>
  <c r="I231" i="102"/>
  <c r="I220" i="102"/>
  <c r="I216" i="102"/>
  <c r="I214" i="102"/>
  <c r="I210" i="102"/>
  <c r="I208" i="102"/>
  <c r="I206" i="102"/>
  <c r="I203" i="102"/>
  <c r="I201" i="102"/>
  <c r="J187" i="102"/>
  <c r="J189" i="102"/>
  <c r="J188" i="102" s="1"/>
  <c r="J194" i="102"/>
  <c r="J193" i="102" s="1"/>
  <c r="J192" i="102" s="1"/>
  <c r="J191" i="102" s="1"/>
  <c r="I194" i="102"/>
  <c r="I187" i="102"/>
  <c r="J181" i="102"/>
  <c r="I181" i="102"/>
  <c r="J162" i="102"/>
  <c r="J163" i="102"/>
  <c r="J165" i="102"/>
  <c r="J168" i="102"/>
  <c r="J167" i="102" s="1"/>
  <c r="J170" i="102"/>
  <c r="J169" i="102" s="1"/>
  <c r="J172" i="102"/>
  <c r="J171" i="102" s="1"/>
  <c r="I172" i="102"/>
  <c r="I170" i="102"/>
  <c r="I168" i="102"/>
  <c r="I162" i="102"/>
  <c r="J156" i="102"/>
  <c r="J144" i="102"/>
  <c r="J147" i="102"/>
  <c r="J146" i="102" s="1"/>
  <c r="J145" i="102" s="1"/>
  <c r="J150" i="102"/>
  <c r="J149" i="102" s="1"/>
  <c r="J148" i="102" s="1"/>
  <c r="I150" i="102"/>
  <c r="I144" i="102"/>
  <c r="J135" i="102"/>
  <c r="J137" i="102"/>
  <c r="J136" i="102" s="1"/>
  <c r="J139" i="102"/>
  <c r="J138" i="102" s="1"/>
  <c r="I139" i="102"/>
  <c r="I137" i="102"/>
  <c r="I135" i="102"/>
  <c r="J129" i="102"/>
  <c r="J119" i="102"/>
  <c r="J121" i="102"/>
  <c r="J120" i="102" s="1"/>
  <c r="I121" i="102"/>
  <c r="I119" i="102"/>
  <c r="I120" i="102"/>
  <c r="J111" i="102"/>
  <c r="J115" i="102"/>
  <c r="J114" i="102" s="1"/>
  <c r="J113" i="102" s="1"/>
  <c r="J112" i="102" s="1"/>
  <c r="I115" i="102"/>
  <c r="I111" i="102"/>
  <c r="J104" i="102"/>
  <c r="J107" i="102"/>
  <c r="J106" i="102" s="1"/>
  <c r="J105" i="102" s="1"/>
  <c r="I107" i="102"/>
  <c r="I104" i="102"/>
  <c r="J94" i="102"/>
  <c r="J95" i="102"/>
  <c r="J100" i="102"/>
  <c r="J99" i="102" s="1"/>
  <c r="J98" i="102" s="1"/>
  <c r="J97" i="102" s="1"/>
  <c r="I100" i="102"/>
  <c r="I94" i="102"/>
  <c r="J90" i="102"/>
  <c r="I90" i="102"/>
  <c r="J87" i="102"/>
  <c r="I87" i="102"/>
  <c r="J78" i="102"/>
  <c r="J81" i="102"/>
  <c r="J80" i="102" s="1"/>
  <c r="J79" i="102" s="1"/>
  <c r="J84" i="102"/>
  <c r="J83" i="102" s="1"/>
  <c r="J82" i="102" s="1"/>
  <c r="I84" i="102"/>
  <c r="I81" i="102"/>
  <c r="I78" i="102"/>
  <c r="J73" i="102"/>
  <c r="I73" i="102"/>
  <c r="J68" i="102"/>
  <c r="J67" i="102" s="1"/>
  <c r="J70" i="102"/>
  <c r="J69" i="102" s="1"/>
  <c r="I70" i="102"/>
  <c r="I68" i="102"/>
  <c r="J61" i="102"/>
  <c r="I61" i="102"/>
  <c r="J56" i="102"/>
  <c r="J51" i="102"/>
  <c r="J49" i="102"/>
  <c r="J47" i="102"/>
  <c r="J45" i="102"/>
  <c r="J40" i="102"/>
  <c r="J41" i="102"/>
  <c r="I41" i="102"/>
  <c r="J38" i="102"/>
  <c r="I38" i="102"/>
  <c r="J35" i="102"/>
  <c r="I35" i="102"/>
  <c r="J27" i="102"/>
  <c r="I27" i="102"/>
  <c r="J197" i="102" l="1"/>
  <c r="J204" i="102"/>
  <c r="J222" i="102"/>
  <c r="J221" i="102" s="1"/>
  <c r="J196" i="102" l="1"/>
  <c r="C22" i="101"/>
  <c r="J240" i="92" l="1"/>
  <c r="J225" i="92" l="1"/>
  <c r="J128" i="92"/>
  <c r="J72" i="92" l="1"/>
  <c r="J63" i="92"/>
  <c r="K57" i="103"/>
  <c r="J66" i="102" s="1"/>
  <c r="J57" i="103"/>
  <c r="I66" i="102" s="1"/>
  <c r="K107" i="103"/>
  <c r="J107" i="103"/>
  <c r="C58" i="101"/>
  <c r="J136" i="92"/>
  <c r="C57" i="101"/>
  <c r="C29" i="101"/>
  <c r="C28" i="101"/>
  <c r="C27" i="101"/>
  <c r="C26" i="101"/>
  <c r="C25" i="101"/>
  <c r="C24" i="101"/>
  <c r="C23" i="101"/>
  <c r="C21" i="101"/>
  <c r="J126" i="104"/>
  <c r="I126" i="104"/>
  <c r="J124" i="104"/>
  <c r="I124" i="104"/>
  <c r="J122" i="104"/>
  <c r="I122" i="104"/>
  <c r="J118" i="104"/>
  <c r="J117" i="104" s="1"/>
  <c r="I118" i="104"/>
  <c r="I117" i="104" s="1"/>
  <c r="I114" i="104"/>
  <c r="I113" i="104" s="1"/>
  <c r="J114" i="104"/>
  <c r="J113" i="104" s="1"/>
  <c r="J111" i="104"/>
  <c r="J110" i="104" s="1"/>
  <c r="I111" i="104"/>
  <c r="I110" i="104" s="1"/>
  <c r="J108" i="104"/>
  <c r="I108" i="104"/>
  <c r="J103" i="104"/>
  <c r="J102" i="104" s="1"/>
  <c r="I103" i="104"/>
  <c r="I102" i="104" s="1"/>
  <c r="I100" i="104"/>
  <c r="J98" i="104"/>
  <c r="I98" i="104"/>
  <c r="I95" i="104"/>
  <c r="I93" i="104"/>
  <c r="I91" i="104"/>
  <c r="I89" i="104"/>
  <c r="J87" i="104"/>
  <c r="I87" i="104"/>
  <c r="J83" i="104"/>
  <c r="I83" i="104"/>
  <c r="J67" i="104"/>
  <c r="J66" i="104" s="1"/>
  <c r="I67" i="104"/>
  <c r="I66" i="104" s="1"/>
  <c r="J64" i="104"/>
  <c r="I64" i="104"/>
  <c r="I37" i="104"/>
  <c r="J35" i="104"/>
  <c r="I35" i="104"/>
  <c r="J33" i="104"/>
  <c r="I33" i="104"/>
  <c r="I26" i="104"/>
  <c r="K312" i="103"/>
  <c r="K311" i="103" s="1"/>
  <c r="K310" i="103" s="1"/>
  <c r="K309" i="103" s="1"/>
  <c r="J312" i="103"/>
  <c r="J311" i="103" s="1"/>
  <c r="J310" i="103" s="1"/>
  <c r="J309" i="103" s="1"/>
  <c r="K306" i="103"/>
  <c r="J306" i="103"/>
  <c r="K304" i="103"/>
  <c r="J304" i="103"/>
  <c r="K297" i="103"/>
  <c r="J297" i="103"/>
  <c r="K295" i="103"/>
  <c r="J295" i="103"/>
  <c r="K293" i="103"/>
  <c r="J293" i="103"/>
  <c r="K287" i="103"/>
  <c r="K286" i="103" s="1"/>
  <c r="K285" i="103" s="1"/>
  <c r="J287" i="103"/>
  <c r="J286" i="103" s="1"/>
  <c r="J285" i="103" s="1"/>
  <c r="K283" i="103"/>
  <c r="K282" i="103" s="1"/>
  <c r="K281" i="103" s="1"/>
  <c r="J283" i="103"/>
  <c r="J282" i="103" s="1"/>
  <c r="J281" i="103" s="1"/>
  <c r="K277" i="103"/>
  <c r="J277" i="103"/>
  <c r="K275" i="103"/>
  <c r="J275" i="103"/>
  <c r="K273" i="103"/>
  <c r="J273" i="103"/>
  <c r="K268" i="103"/>
  <c r="J268" i="103"/>
  <c r="K266" i="103"/>
  <c r="J266" i="103"/>
  <c r="K262" i="103"/>
  <c r="K261" i="103" s="1"/>
  <c r="J262" i="103"/>
  <c r="J261" i="103" s="1"/>
  <c r="K257" i="103"/>
  <c r="K256" i="103" s="1"/>
  <c r="J257" i="103"/>
  <c r="J256" i="103" s="1"/>
  <c r="K254" i="103"/>
  <c r="K253" i="103" s="1"/>
  <c r="J254" i="103"/>
  <c r="J253" i="103" s="1"/>
  <c r="J252" i="103" s="1"/>
  <c r="K248" i="103"/>
  <c r="J248" i="103"/>
  <c r="K246" i="103"/>
  <c r="J246" i="103"/>
  <c r="K241" i="103"/>
  <c r="K240" i="103" s="1"/>
  <c r="K239" i="103" s="1"/>
  <c r="J241" i="103"/>
  <c r="J240" i="103" s="1"/>
  <c r="J239" i="103" s="1"/>
  <c r="K236" i="103"/>
  <c r="K235" i="103" s="1"/>
  <c r="J236" i="103"/>
  <c r="J235" i="103" s="1"/>
  <c r="K233" i="103"/>
  <c r="K232" i="103" s="1"/>
  <c r="J233" i="103"/>
  <c r="J232" i="103" s="1"/>
  <c r="K226" i="103"/>
  <c r="K225" i="103" s="1"/>
  <c r="K224" i="103" s="1"/>
  <c r="J226" i="103"/>
  <c r="J225" i="103" s="1"/>
  <c r="J224" i="103" s="1"/>
  <c r="J222" i="103"/>
  <c r="K221" i="103"/>
  <c r="K220" i="103" s="1"/>
  <c r="K219" i="103" s="1"/>
  <c r="K217" i="103"/>
  <c r="K216" i="103" s="1"/>
  <c r="J217" i="103"/>
  <c r="J216" i="103" s="1"/>
  <c r="K214" i="103"/>
  <c r="J214" i="103"/>
  <c r="J213" i="103" s="1"/>
  <c r="K213" i="103"/>
  <c r="K211" i="103"/>
  <c r="K210" i="103" s="1"/>
  <c r="J211" i="103"/>
  <c r="J210" i="103" s="1"/>
  <c r="K206" i="103"/>
  <c r="J206" i="103"/>
  <c r="K204" i="103"/>
  <c r="J204" i="103"/>
  <c r="K202" i="103"/>
  <c r="J202" i="103"/>
  <c r="K200" i="103"/>
  <c r="J200" i="103"/>
  <c r="K198" i="103"/>
  <c r="K196" i="103"/>
  <c r="J196" i="103"/>
  <c r="K194" i="103"/>
  <c r="J194" i="103"/>
  <c r="K192" i="103"/>
  <c r="J192" i="103"/>
  <c r="K189" i="103"/>
  <c r="J189" i="103"/>
  <c r="K187" i="103"/>
  <c r="J187" i="103"/>
  <c r="K185" i="103"/>
  <c r="J185" i="103"/>
  <c r="K180" i="103"/>
  <c r="K179" i="103" s="1"/>
  <c r="K178" i="103" s="1"/>
  <c r="J180" i="103"/>
  <c r="J179" i="103" s="1"/>
  <c r="J178" i="103" s="1"/>
  <c r="K176" i="103"/>
  <c r="J176" i="103"/>
  <c r="J175" i="103" s="1"/>
  <c r="K175" i="103"/>
  <c r="K173" i="103"/>
  <c r="K172" i="103" s="1"/>
  <c r="J173" i="103"/>
  <c r="J172" i="103" s="1"/>
  <c r="K167" i="103"/>
  <c r="K166" i="103" s="1"/>
  <c r="K165" i="103" s="1"/>
  <c r="J167" i="103"/>
  <c r="J166" i="103" s="1"/>
  <c r="J165" i="103" s="1"/>
  <c r="K163" i="103"/>
  <c r="K162" i="103" s="1"/>
  <c r="K161" i="103" s="1"/>
  <c r="K160" i="103" s="1"/>
  <c r="J163" i="103"/>
  <c r="J162" i="103" s="1"/>
  <c r="J161" i="103" s="1"/>
  <c r="J160" i="103" s="1"/>
  <c r="K158" i="103"/>
  <c r="J158" i="103"/>
  <c r="K156" i="103"/>
  <c r="J156" i="103"/>
  <c r="K154" i="103"/>
  <c r="J154" i="103"/>
  <c r="K152" i="103"/>
  <c r="J152" i="103"/>
  <c r="K150" i="103"/>
  <c r="J150" i="103"/>
  <c r="K148" i="103"/>
  <c r="J148" i="103"/>
  <c r="J143" i="103"/>
  <c r="I156" i="102" s="1"/>
  <c r="I155" i="102" s="1"/>
  <c r="K142" i="103"/>
  <c r="K140" i="103"/>
  <c r="J140" i="103"/>
  <c r="K136" i="103"/>
  <c r="K135" i="103" s="1"/>
  <c r="J136" i="103"/>
  <c r="J135" i="103" s="1"/>
  <c r="J134" i="103"/>
  <c r="K133" i="103"/>
  <c r="K132" i="103" s="1"/>
  <c r="K130" i="103"/>
  <c r="K129" i="103" s="1"/>
  <c r="J130" i="103"/>
  <c r="J129" i="103" s="1"/>
  <c r="K125" i="103"/>
  <c r="J125" i="103"/>
  <c r="K123" i="103"/>
  <c r="J123" i="103"/>
  <c r="K121" i="103"/>
  <c r="J121" i="103"/>
  <c r="K115" i="103"/>
  <c r="J115" i="103"/>
  <c r="K105" i="103"/>
  <c r="J105" i="103"/>
  <c r="K101" i="103"/>
  <c r="K100" i="103" s="1"/>
  <c r="K99" i="103" s="1"/>
  <c r="J101" i="103"/>
  <c r="J100" i="103" s="1"/>
  <c r="J99" i="103" s="1"/>
  <c r="K97" i="103"/>
  <c r="K96" i="103" s="1"/>
  <c r="J97" i="103"/>
  <c r="J96" i="103" s="1"/>
  <c r="K94" i="103"/>
  <c r="J94" i="103"/>
  <c r="K90" i="103"/>
  <c r="K89" i="103" s="1"/>
  <c r="K88" i="103" s="1"/>
  <c r="J90" i="103"/>
  <c r="J89" i="103" s="1"/>
  <c r="J88" i="103" s="1"/>
  <c r="K86" i="103"/>
  <c r="J86" i="103"/>
  <c r="K84" i="103"/>
  <c r="J84" i="103"/>
  <c r="K80" i="103"/>
  <c r="K79" i="103" s="1"/>
  <c r="J80" i="103"/>
  <c r="J79" i="103"/>
  <c r="K77" i="103"/>
  <c r="K76" i="103" s="1"/>
  <c r="J77" i="103"/>
  <c r="J76" i="103" s="1"/>
  <c r="K74" i="103"/>
  <c r="K73" i="103" s="1"/>
  <c r="J74" i="103"/>
  <c r="J73" i="103" s="1"/>
  <c r="K71" i="103"/>
  <c r="K70" i="103" s="1"/>
  <c r="J71" i="103"/>
  <c r="J70" i="103" s="1"/>
  <c r="K68" i="103"/>
  <c r="K67" i="103" s="1"/>
  <c r="J68" i="103"/>
  <c r="J67" i="103" s="1"/>
  <c r="K63" i="103"/>
  <c r="K62" i="103" s="1"/>
  <c r="J63" i="103"/>
  <c r="J62" i="103" s="1"/>
  <c r="K60" i="103"/>
  <c r="J60" i="103"/>
  <c r="K58" i="103"/>
  <c r="J58" i="103"/>
  <c r="K56" i="103"/>
  <c r="J56" i="103"/>
  <c r="K51" i="103"/>
  <c r="K50" i="103" s="1"/>
  <c r="K49" i="103" s="1"/>
  <c r="K48" i="103" s="1"/>
  <c r="J51" i="103"/>
  <c r="J50" i="103" s="1"/>
  <c r="J49" i="103" s="1"/>
  <c r="J48" i="103" s="1"/>
  <c r="J47" i="103"/>
  <c r="K46" i="103"/>
  <c r="K45" i="103" s="1"/>
  <c r="K43" i="103"/>
  <c r="J42" i="103"/>
  <c r="I51" i="102" s="1"/>
  <c r="K41" i="103"/>
  <c r="J41" i="103"/>
  <c r="J40" i="103"/>
  <c r="K39" i="103"/>
  <c r="J38" i="103"/>
  <c r="K37" i="103"/>
  <c r="J36" i="103"/>
  <c r="K35" i="103"/>
  <c r="J31" i="103"/>
  <c r="K30" i="103"/>
  <c r="K28" i="103"/>
  <c r="J28" i="103"/>
  <c r="K25" i="103"/>
  <c r="K24" i="103" s="1"/>
  <c r="J25" i="103"/>
  <c r="J24" i="103" s="1"/>
  <c r="I310" i="102"/>
  <c r="I308" i="102"/>
  <c r="J306" i="102"/>
  <c r="I306" i="102"/>
  <c r="J300" i="102"/>
  <c r="J299" i="102" s="1"/>
  <c r="J298" i="102" s="1"/>
  <c r="I300" i="102"/>
  <c r="I299" i="102" s="1"/>
  <c r="I298" i="102" s="1"/>
  <c r="J296" i="102"/>
  <c r="J295" i="102" s="1"/>
  <c r="J294" i="102" s="1"/>
  <c r="I296" i="102"/>
  <c r="I295" i="102" s="1"/>
  <c r="I294" i="102" s="1"/>
  <c r="I290" i="102"/>
  <c r="I288" i="102"/>
  <c r="J286" i="102"/>
  <c r="I286" i="102"/>
  <c r="J279" i="102"/>
  <c r="I279" i="102"/>
  <c r="J275" i="102"/>
  <c r="J274" i="102" s="1"/>
  <c r="J273" i="102" s="1"/>
  <c r="J272" i="102" s="1"/>
  <c r="I275" i="102"/>
  <c r="I274" i="102" s="1"/>
  <c r="I273" i="102" s="1"/>
  <c r="I272" i="102" s="1"/>
  <c r="J270" i="102"/>
  <c r="J269" i="102" s="1"/>
  <c r="I270" i="102"/>
  <c r="I269" i="102" s="1"/>
  <c r="J261" i="102"/>
  <c r="I261" i="102"/>
  <c r="J259" i="102"/>
  <c r="I259" i="102"/>
  <c r="J254" i="102"/>
  <c r="J253" i="102" s="1"/>
  <c r="J252" i="102" s="1"/>
  <c r="I254" i="102"/>
  <c r="I253" i="102" s="1"/>
  <c r="I252" i="102" s="1"/>
  <c r="J249" i="102"/>
  <c r="J248" i="102" s="1"/>
  <c r="I249" i="102"/>
  <c r="I248" i="102" s="1"/>
  <c r="J246" i="102"/>
  <c r="J245" i="102" s="1"/>
  <c r="I246" i="102"/>
  <c r="I245" i="102" s="1"/>
  <c r="J234" i="102"/>
  <c r="J233" i="102" s="1"/>
  <c r="J232" i="102" s="1"/>
  <c r="J195" i="102" s="1"/>
  <c r="I230" i="102"/>
  <c r="I229" i="102" s="1"/>
  <c r="I227" i="102"/>
  <c r="I226" i="102" s="1"/>
  <c r="I224" i="102"/>
  <c r="I223" i="102" s="1"/>
  <c r="I219" i="102"/>
  <c r="I217" i="102"/>
  <c r="I215" i="102"/>
  <c r="I213" i="102"/>
  <c r="I209" i="102"/>
  <c r="I207" i="102"/>
  <c r="I205" i="102"/>
  <c r="I202" i="102"/>
  <c r="I200" i="102"/>
  <c r="I198" i="102"/>
  <c r="I193" i="102"/>
  <c r="I192" i="102" s="1"/>
  <c r="I191" i="102" s="1"/>
  <c r="I189" i="102"/>
  <c r="I188" i="102" s="1"/>
  <c r="J186" i="102"/>
  <c r="J185" i="102" s="1"/>
  <c r="I186" i="102"/>
  <c r="I185" i="102" s="1"/>
  <c r="J180" i="102"/>
  <c r="J179" i="102" s="1"/>
  <c r="J178" i="102" s="1"/>
  <c r="I180" i="102"/>
  <c r="I179" i="102" s="1"/>
  <c r="I178" i="102" s="1"/>
  <c r="J176" i="102"/>
  <c r="J175" i="102" s="1"/>
  <c r="J174" i="102" s="1"/>
  <c r="J173" i="102" s="1"/>
  <c r="I176" i="102"/>
  <c r="I175" i="102" s="1"/>
  <c r="I174" i="102" s="1"/>
  <c r="I173" i="102" s="1"/>
  <c r="I171" i="102"/>
  <c r="I169" i="102"/>
  <c r="I167" i="102"/>
  <c r="I165" i="102"/>
  <c r="I163" i="102"/>
  <c r="J161" i="102"/>
  <c r="I161" i="102"/>
  <c r="J155" i="102"/>
  <c r="J153" i="102"/>
  <c r="I153" i="102"/>
  <c r="I149" i="102"/>
  <c r="I148" i="102" s="1"/>
  <c r="J143" i="102"/>
  <c r="J142" i="102" s="1"/>
  <c r="I143" i="102"/>
  <c r="I142" i="102" s="1"/>
  <c r="I138" i="102"/>
  <c r="I136" i="102"/>
  <c r="J134" i="102"/>
  <c r="I134" i="102"/>
  <c r="J128" i="102"/>
  <c r="J124" i="102" s="1"/>
  <c r="J123" i="102" s="1"/>
  <c r="J122" i="102" s="1"/>
  <c r="I128" i="102"/>
  <c r="J118" i="102"/>
  <c r="I118" i="102"/>
  <c r="I114" i="102"/>
  <c r="I113" i="102" s="1"/>
  <c r="I112" i="102" s="1"/>
  <c r="J110" i="102"/>
  <c r="J109" i="102" s="1"/>
  <c r="J108" i="102" s="1"/>
  <c r="I110" i="102"/>
  <c r="I109" i="102" s="1"/>
  <c r="I108" i="102" s="1"/>
  <c r="I106" i="102"/>
  <c r="I105" i="102" s="1"/>
  <c r="J103" i="102"/>
  <c r="J102" i="102" s="1"/>
  <c r="I103" i="102"/>
  <c r="I102" i="102" s="1"/>
  <c r="I99" i="102"/>
  <c r="I98" i="102" s="1"/>
  <c r="I97" i="102" s="1"/>
  <c r="I95" i="102"/>
  <c r="J89" i="102"/>
  <c r="J88" i="102" s="1"/>
  <c r="I89" i="102"/>
  <c r="I88" i="102" s="1"/>
  <c r="J86" i="102"/>
  <c r="J85" i="102" s="1"/>
  <c r="I86" i="102"/>
  <c r="I85" i="102" s="1"/>
  <c r="I83" i="102"/>
  <c r="I82" i="102" s="1"/>
  <c r="I80" i="102"/>
  <c r="I79" i="102" s="1"/>
  <c r="J77" i="102"/>
  <c r="J76" i="102" s="1"/>
  <c r="I77" i="102"/>
  <c r="I76" i="102" s="1"/>
  <c r="J72" i="102"/>
  <c r="J71" i="102" s="1"/>
  <c r="I72" i="102"/>
  <c r="I71" i="102" s="1"/>
  <c r="I69" i="102"/>
  <c r="I67" i="102"/>
  <c r="J65" i="102"/>
  <c r="I65" i="102"/>
  <c r="J60" i="102"/>
  <c r="J59" i="102" s="1"/>
  <c r="J58" i="102" s="1"/>
  <c r="J57" i="102" s="1"/>
  <c r="I60" i="102"/>
  <c r="I59" i="102" s="1"/>
  <c r="I58" i="102" s="1"/>
  <c r="I57" i="102" s="1"/>
  <c r="J55" i="102"/>
  <c r="J54" i="102" s="1"/>
  <c r="J53" i="102" s="1"/>
  <c r="J52" i="102" s="1"/>
  <c r="J50" i="102"/>
  <c r="I50" i="102"/>
  <c r="J48" i="102"/>
  <c r="J46" i="102"/>
  <c r="J44" i="102"/>
  <c r="J37" i="102"/>
  <c r="I37" i="102"/>
  <c r="J34" i="102"/>
  <c r="J33" i="102" s="1"/>
  <c r="I34" i="102"/>
  <c r="I33" i="102" s="1"/>
  <c r="J26" i="102"/>
  <c r="I26" i="102"/>
  <c r="I125" i="102" l="1"/>
  <c r="I124" i="102" s="1"/>
  <c r="I123" i="102" s="1"/>
  <c r="I122" i="102" s="1"/>
  <c r="K112" i="103"/>
  <c r="K111" i="103" s="1"/>
  <c r="K110" i="103" s="1"/>
  <c r="K109" i="103" s="1"/>
  <c r="K316" i="103" s="1"/>
  <c r="J112" i="103"/>
  <c r="J111" i="103" s="1"/>
  <c r="J110" i="103" s="1"/>
  <c r="J109" i="103" s="1"/>
  <c r="J316" i="103" s="1"/>
  <c r="K245" i="103"/>
  <c r="K244" i="103" s="1"/>
  <c r="K243" i="103" s="1"/>
  <c r="K260" i="103"/>
  <c r="K259" i="103" s="1"/>
  <c r="J120" i="103"/>
  <c r="J119" i="103" s="1"/>
  <c r="J118" i="103" s="1"/>
  <c r="J280" i="103"/>
  <c r="J279" i="103" s="1"/>
  <c r="J323" i="103" s="1"/>
  <c r="J265" i="103"/>
  <c r="J264" i="103" s="1"/>
  <c r="J245" i="103"/>
  <c r="J244" i="103" s="1"/>
  <c r="J243" i="103" s="1"/>
  <c r="J238" i="103" s="1"/>
  <c r="J321" i="103" s="1"/>
  <c r="K265" i="103"/>
  <c r="K264" i="103" s="1"/>
  <c r="K93" i="103"/>
  <c r="K92" i="103" s="1"/>
  <c r="K139" i="103"/>
  <c r="K138" i="103" s="1"/>
  <c r="J303" i="103"/>
  <c r="J302" i="103" s="1"/>
  <c r="J301" i="103" s="1"/>
  <c r="J300" i="103" s="1"/>
  <c r="J299" i="103" s="1"/>
  <c r="K209" i="103"/>
  <c r="K208" i="103" s="1"/>
  <c r="J142" i="103"/>
  <c r="J139" i="103" s="1"/>
  <c r="J138" i="103" s="1"/>
  <c r="K27" i="103"/>
  <c r="J83" i="103"/>
  <c r="J82" i="103" s="1"/>
  <c r="J93" i="103"/>
  <c r="J92" i="103" s="1"/>
  <c r="J133" i="103"/>
  <c r="J132" i="103" s="1"/>
  <c r="J128" i="103" s="1"/>
  <c r="I147" i="102"/>
  <c r="I146" i="102" s="1"/>
  <c r="I145" i="102" s="1"/>
  <c r="I141" i="102" s="1"/>
  <c r="J209" i="103"/>
  <c r="J208" i="103" s="1"/>
  <c r="J292" i="103"/>
  <c r="J291" i="103" s="1"/>
  <c r="J290" i="103" s="1"/>
  <c r="J289" i="103" s="1"/>
  <c r="J324" i="103" s="1"/>
  <c r="K171" i="103"/>
  <c r="K170" i="103" s="1"/>
  <c r="K292" i="103"/>
  <c r="K291" i="103" s="1"/>
  <c r="K290" i="103" s="1"/>
  <c r="K289" i="103" s="1"/>
  <c r="K324" i="103" s="1"/>
  <c r="J30" i="103"/>
  <c r="J27" i="103" s="1"/>
  <c r="J23" i="103" s="1"/>
  <c r="I40" i="102"/>
  <c r="I39" i="102" s="1"/>
  <c r="I36" i="102" s="1"/>
  <c r="I32" i="102" s="1"/>
  <c r="J46" i="103"/>
  <c r="J45" i="103" s="1"/>
  <c r="J44" i="103" s="1"/>
  <c r="J43" i="103" s="1"/>
  <c r="I56" i="102"/>
  <c r="I55" i="102" s="1"/>
  <c r="I54" i="102" s="1"/>
  <c r="I53" i="102" s="1"/>
  <c r="I52" i="102" s="1"/>
  <c r="K34" i="103"/>
  <c r="K33" i="103" s="1"/>
  <c r="J221" i="103"/>
  <c r="J220" i="103" s="1"/>
  <c r="J219" i="103" s="1"/>
  <c r="I235" i="102"/>
  <c r="I234" i="102" s="1"/>
  <c r="I233" i="102" s="1"/>
  <c r="I232" i="102" s="1"/>
  <c r="J104" i="103"/>
  <c r="J103" i="103" s="1"/>
  <c r="I117" i="102"/>
  <c r="I116" i="102" s="1"/>
  <c r="J35" i="103"/>
  <c r="I45" i="102"/>
  <c r="I44" i="102" s="1"/>
  <c r="K83" i="103"/>
  <c r="K82" i="103" s="1"/>
  <c r="K120" i="103"/>
  <c r="K119" i="103" s="1"/>
  <c r="K118" i="103" s="1"/>
  <c r="K104" i="103"/>
  <c r="K103" i="103" s="1"/>
  <c r="J37" i="103"/>
  <c r="I47" i="102"/>
  <c r="I46" i="102" s="1"/>
  <c r="J117" i="102"/>
  <c r="J116" i="102" s="1"/>
  <c r="K55" i="103"/>
  <c r="K54" i="103" s="1"/>
  <c r="K252" i="103"/>
  <c r="K303" i="103"/>
  <c r="K302" i="103" s="1"/>
  <c r="K301" i="103" s="1"/>
  <c r="K300" i="103" s="1"/>
  <c r="K299" i="103" s="1"/>
  <c r="J39" i="103"/>
  <c r="I49" i="102"/>
  <c r="I48" i="102" s="1"/>
  <c r="J198" i="103"/>
  <c r="J191" i="103" s="1"/>
  <c r="I212" i="102"/>
  <c r="I211" i="102" s="1"/>
  <c r="I204" i="102" s="1"/>
  <c r="I281" i="102"/>
  <c r="I278" i="102" s="1"/>
  <c r="I277" i="102" s="1"/>
  <c r="J105" i="104"/>
  <c r="I152" i="102"/>
  <c r="I151" i="102" s="1"/>
  <c r="J60" i="104"/>
  <c r="I79" i="104"/>
  <c r="J39" i="102"/>
  <c r="J36" i="102" s="1"/>
  <c r="J32" i="102" s="1"/>
  <c r="I244" i="102"/>
  <c r="I243" i="102" s="1"/>
  <c r="J281" i="102"/>
  <c r="J278" i="102" s="1"/>
  <c r="J277" i="102" s="1"/>
  <c r="J244" i="102"/>
  <c r="J243" i="102" s="1"/>
  <c r="J55" i="103"/>
  <c r="J54" i="103" s="1"/>
  <c r="C59" i="101"/>
  <c r="J73" i="104"/>
  <c r="I29" i="104"/>
  <c r="I28" i="104" s="1"/>
  <c r="I105" i="104"/>
  <c r="J70" i="104"/>
  <c r="J75" i="104"/>
  <c r="J29" i="104"/>
  <c r="J28" i="104" s="1"/>
  <c r="I22" i="104"/>
  <c r="I21" i="104" s="1"/>
  <c r="J47" i="104"/>
  <c r="I60" i="104"/>
  <c r="I73" i="104"/>
  <c r="I40" i="104"/>
  <c r="I121" i="104"/>
  <c r="I120" i="104" s="1"/>
  <c r="J40" i="104"/>
  <c r="I75" i="104"/>
  <c r="J86" i="104"/>
  <c r="J121" i="104"/>
  <c r="J120" i="104" s="1"/>
  <c r="I51" i="104"/>
  <c r="I97" i="104"/>
  <c r="J97" i="104"/>
  <c r="I47" i="104"/>
  <c r="J79" i="104"/>
  <c r="J22" i="104"/>
  <c r="J21" i="104" s="1"/>
  <c r="J51" i="104"/>
  <c r="I70" i="104"/>
  <c r="J171" i="103"/>
  <c r="J170" i="103" s="1"/>
  <c r="K191" i="103"/>
  <c r="J231" i="103"/>
  <c r="J230" i="103" s="1"/>
  <c r="J223" i="103" s="1"/>
  <c r="K231" i="103"/>
  <c r="K230" i="103" s="1"/>
  <c r="K223" i="103" s="1"/>
  <c r="J66" i="103"/>
  <c r="J65" i="103" s="1"/>
  <c r="K66" i="103"/>
  <c r="K65" i="103" s="1"/>
  <c r="K147" i="103"/>
  <c r="K146" i="103" s="1"/>
  <c r="K145" i="103" s="1"/>
  <c r="K144" i="103" s="1"/>
  <c r="K318" i="103" s="1"/>
  <c r="K23" i="103"/>
  <c r="J147" i="103"/>
  <c r="J146" i="103" s="1"/>
  <c r="J145" i="103" s="1"/>
  <c r="J144" i="103" s="1"/>
  <c r="J318" i="103" s="1"/>
  <c r="J184" i="103"/>
  <c r="J272" i="103"/>
  <c r="J271" i="103" s="1"/>
  <c r="J270" i="103" s="1"/>
  <c r="K184" i="103"/>
  <c r="J260" i="103"/>
  <c r="J259" i="103" s="1"/>
  <c r="K272" i="103"/>
  <c r="K271" i="103" s="1"/>
  <c r="K270" i="103" s="1"/>
  <c r="J239" i="102"/>
  <c r="J238" i="102" s="1"/>
  <c r="J237" i="102" s="1"/>
  <c r="J258" i="102"/>
  <c r="J257" i="102" s="1"/>
  <c r="J256" i="102" s="1"/>
  <c r="J251" i="102" s="1"/>
  <c r="J28" i="102"/>
  <c r="J25" i="102" s="1"/>
  <c r="J24" i="102" s="1"/>
  <c r="J23" i="102" s="1"/>
  <c r="I28" i="102"/>
  <c r="I25" i="102" s="1"/>
  <c r="I24" i="102" s="1"/>
  <c r="I23" i="102" s="1"/>
  <c r="J141" i="102"/>
  <c r="I133" i="102"/>
  <c r="I132" i="102" s="1"/>
  <c r="I131" i="102" s="1"/>
  <c r="I239" i="102"/>
  <c r="I238" i="102" s="1"/>
  <c r="I237" i="102" s="1"/>
  <c r="I93" i="102"/>
  <c r="I92" i="102" s="1"/>
  <c r="I91" i="102" s="1"/>
  <c r="J101" i="102"/>
  <c r="I197" i="102"/>
  <c r="I258" i="102"/>
  <c r="I257" i="102" s="1"/>
  <c r="I256" i="102" s="1"/>
  <c r="I251" i="102" s="1"/>
  <c r="I305" i="102"/>
  <c r="I304" i="102" s="1"/>
  <c r="I303" i="102" s="1"/>
  <c r="I302" i="102" s="1"/>
  <c r="I101" i="102"/>
  <c r="J152" i="102"/>
  <c r="J151" i="102" s="1"/>
  <c r="J285" i="102"/>
  <c r="J284" i="102" s="1"/>
  <c r="J283" i="102" s="1"/>
  <c r="J305" i="102"/>
  <c r="J304" i="102" s="1"/>
  <c r="J303" i="102" s="1"/>
  <c r="J302" i="102" s="1"/>
  <c r="I267" i="102"/>
  <c r="I266" i="102" s="1"/>
  <c r="I265" i="102" s="1"/>
  <c r="I285" i="102"/>
  <c r="I284" i="102" s="1"/>
  <c r="I283" i="102" s="1"/>
  <c r="J267" i="102"/>
  <c r="J266" i="102" s="1"/>
  <c r="J265" i="102" s="1"/>
  <c r="I64" i="102"/>
  <c r="I63" i="102" s="1"/>
  <c r="J93" i="102"/>
  <c r="J92" i="102" s="1"/>
  <c r="J91" i="102" s="1"/>
  <c r="J184" i="102"/>
  <c r="J183" i="102" s="1"/>
  <c r="C30" i="101"/>
  <c r="I86" i="104"/>
  <c r="K238" i="103"/>
  <c r="K321" i="103" s="1"/>
  <c r="K128" i="103"/>
  <c r="K127" i="103" s="1"/>
  <c r="K280" i="103"/>
  <c r="K279" i="103" s="1"/>
  <c r="K323" i="103" s="1"/>
  <c r="J43" i="102"/>
  <c r="J42" i="102" s="1"/>
  <c r="I184" i="102"/>
  <c r="I183" i="102" s="1"/>
  <c r="I75" i="102"/>
  <c r="I74" i="102" s="1"/>
  <c r="J75" i="102"/>
  <c r="J74" i="102" s="1"/>
  <c r="J160" i="102"/>
  <c r="J159" i="102" s="1"/>
  <c r="J158" i="102" s="1"/>
  <c r="J157" i="102" s="1"/>
  <c r="I160" i="102"/>
  <c r="I159" i="102" s="1"/>
  <c r="I158" i="102" s="1"/>
  <c r="I157" i="102" s="1"/>
  <c r="I222" i="102"/>
  <c r="I221" i="102" s="1"/>
  <c r="J293" i="102"/>
  <c r="J292" i="102" s="1"/>
  <c r="J64" i="102"/>
  <c r="J63" i="102" s="1"/>
  <c r="I293" i="102"/>
  <c r="I292" i="102" s="1"/>
  <c r="J133" i="102"/>
  <c r="J132" i="102" s="1"/>
  <c r="J131" i="102" s="1"/>
  <c r="J34" i="103" l="1"/>
  <c r="J33" i="103" s="1"/>
  <c r="K117" i="103"/>
  <c r="K317" i="103" s="1"/>
  <c r="J236" i="102"/>
  <c r="J182" i="102" s="1"/>
  <c r="K251" i="103"/>
  <c r="K250" i="103" s="1"/>
  <c r="K322" i="103" s="1"/>
  <c r="J251" i="103"/>
  <c r="J250" i="103" s="1"/>
  <c r="J322" i="103" s="1"/>
  <c r="J127" i="103"/>
  <c r="J117" i="103" s="1"/>
  <c r="J317" i="103" s="1"/>
  <c r="K22" i="103"/>
  <c r="I43" i="102"/>
  <c r="I42" i="102" s="1"/>
  <c r="I31" i="102" s="1"/>
  <c r="J22" i="103"/>
  <c r="J183" i="103"/>
  <c r="J182" i="103" s="1"/>
  <c r="J169" i="103" s="1"/>
  <c r="J319" i="103" s="1"/>
  <c r="K183" i="103"/>
  <c r="K182" i="103" s="1"/>
  <c r="K169" i="103" s="1"/>
  <c r="K319" i="103" s="1"/>
  <c r="J85" i="104"/>
  <c r="I236" i="102"/>
  <c r="I85" i="104"/>
  <c r="I140" i="102"/>
  <c r="I130" i="102" s="1"/>
  <c r="J69" i="104"/>
  <c r="I62" i="102"/>
  <c r="K53" i="103"/>
  <c r="K21" i="103" s="1"/>
  <c r="K315" i="103" s="1"/>
  <c r="J53" i="103"/>
  <c r="J39" i="104"/>
  <c r="I69" i="104"/>
  <c r="I39" i="104"/>
  <c r="I264" i="102"/>
  <c r="I263" i="102" s="1"/>
  <c r="J140" i="102"/>
  <c r="J130" i="102" s="1"/>
  <c r="J264" i="102"/>
  <c r="J263" i="102" s="1"/>
  <c r="I196" i="102"/>
  <c r="I195" i="102" s="1"/>
  <c r="J31" i="102"/>
  <c r="J62" i="102"/>
  <c r="I128" i="104" l="1"/>
  <c r="J21" i="103"/>
  <c r="I182" i="102"/>
  <c r="K327" i="103"/>
  <c r="J22" i="102"/>
  <c r="I22" i="102"/>
  <c r="J128" i="104"/>
  <c r="K20" i="103"/>
  <c r="K314" i="103" s="1"/>
  <c r="J312" i="102"/>
  <c r="J314" i="102" s="1"/>
  <c r="J316" i="102" s="1"/>
  <c r="J315" i="103"/>
  <c r="J327" i="103" s="1"/>
  <c r="J20" i="103"/>
  <c r="J314" i="103" s="1"/>
  <c r="J329" i="103" l="1"/>
  <c r="C30" i="107"/>
  <c r="C29" i="107" s="1"/>
  <c r="C28" i="107" s="1"/>
  <c r="C27" i="107" s="1"/>
  <c r="C22" i="107" s="1"/>
  <c r="C21" i="107" s="1"/>
  <c r="K329" i="103"/>
  <c r="D30" i="107"/>
  <c r="D29" i="107" s="1"/>
  <c r="D28" i="107" s="1"/>
  <c r="D27" i="107" s="1"/>
  <c r="D22" i="107" s="1"/>
  <c r="D21" i="107" s="1"/>
  <c r="I312" i="102"/>
  <c r="I314" i="102" s="1"/>
  <c r="I316" i="102" s="1"/>
  <c r="I27" i="94"/>
  <c r="I80" i="90"/>
  <c r="I79" i="90" s="1"/>
  <c r="J73" i="92"/>
  <c r="J332" i="92" l="1"/>
  <c r="J297" i="92" l="1"/>
  <c r="I135" i="94" l="1"/>
  <c r="I134" i="94" s="1"/>
  <c r="I58" i="94" l="1"/>
  <c r="J291" i="92"/>
  <c r="J290" i="92" s="1"/>
  <c r="J289" i="92" s="1"/>
  <c r="I29" i="90"/>
  <c r="I299" i="90"/>
  <c r="I301" i="90"/>
  <c r="I300" i="90" s="1"/>
  <c r="I235" i="90"/>
  <c r="I234" i="90" s="1"/>
  <c r="I126" i="90"/>
  <c r="I125" i="90" s="1"/>
  <c r="I124" i="90" s="1"/>
  <c r="C33" i="84" l="1"/>
  <c r="J348" i="92" l="1"/>
  <c r="C31" i="84"/>
  <c r="J227" i="92" l="1"/>
  <c r="J293" i="92"/>
  <c r="J122" i="92"/>
  <c r="J121" i="92" s="1"/>
  <c r="J117" i="92" s="1"/>
  <c r="J27" i="92" l="1"/>
  <c r="J355" i="92"/>
  <c r="J216" i="92" l="1"/>
  <c r="J58" i="92"/>
  <c r="J259" i="92" l="1"/>
  <c r="J173" i="92"/>
  <c r="J32" i="92"/>
  <c r="J45" i="92"/>
  <c r="J47" i="92"/>
  <c r="J43" i="92"/>
  <c r="J49" i="92"/>
  <c r="J54" i="92"/>
  <c r="C36" i="84" l="1"/>
  <c r="I256" i="90" l="1"/>
  <c r="I75" i="94" l="1"/>
  <c r="I62" i="94"/>
  <c r="I96" i="94"/>
  <c r="I40" i="90" l="1"/>
  <c r="J235" i="92" l="1"/>
  <c r="J229" i="92"/>
  <c r="I201" i="90" l="1"/>
  <c r="I35" i="94" l="1"/>
  <c r="I34" i="94"/>
  <c r="I33" i="94"/>
  <c r="I143" i="94"/>
  <c r="I142" i="94" s="1"/>
  <c r="I141" i="94"/>
  <c r="I140" i="94" s="1"/>
  <c r="I139" i="94"/>
  <c r="I138" i="94" s="1"/>
  <c r="I133" i="94"/>
  <c r="I132" i="94" s="1"/>
  <c r="I131" i="94" s="1"/>
  <c r="I130" i="94"/>
  <c r="I129" i="94"/>
  <c r="I126" i="94"/>
  <c r="I123" i="94"/>
  <c r="I122" i="94" s="1"/>
  <c r="I121" i="94"/>
  <c r="I120" i="94"/>
  <c r="I118" i="94"/>
  <c r="I117" i="94" s="1"/>
  <c r="I116" i="94"/>
  <c r="I115" i="94" s="1"/>
  <c r="I113" i="94"/>
  <c r="I112" i="94" s="1"/>
  <c r="I111" i="94"/>
  <c r="I110" i="94" s="1"/>
  <c r="I108" i="94"/>
  <c r="I107" i="94" s="1"/>
  <c r="I106" i="94"/>
  <c r="I105" i="94" s="1"/>
  <c r="I102" i="94"/>
  <c r="I101" i="94" s="1"/>
  <c r="I100" i="94"/>
  <c r="I99" i="94" s="1"/>
  <c r="I92" i="94"/>
  <c r="I90" i="94"/>
  <c r="I88" i="94"/>
  <c r="I87" i="94"/>
  <c r="I86" i="94"/>
  <c r="I84" i="94"/>
  <c r="I81" i="94"/>
  <c r="I77" i="94"/>
  <c r="I76" i="94" s="1"/>
  <c r="I72" i="94"/>
  <c r="I71" i="94" s="1"/>
  <c r="I70" i="94"/>
  <c r="I66" i="94"/>
  <c r="I65" i="94"/>
  <c r="I64" i="94"/>
  <c r="I63" i="94"/>
  <c r="I61" i="94"/>
  <c r="I60" i="94"/>
  <c r="I59" i="94"/>
  <c r="I56" i="94"/>
  <c r="I55" i="94"/>
  <c r="I54" i="94"/>
  <c r="I52" i="94"/>
  <c r="I51" i="94"/>
  <c r="I50" i="94"/>
  <c r="I49" i="94"/>
  <c r="I48" i="94"/>
  <c r="I47" i="94"/>
  <c r="I46" i="94"/>
  <c r="I45" i="94"/>
  <c r="I44" i="94"/>
  <c r="I41" i="94"/>
  <c r="I40" i="94" s="1"/>
  <c r="I39" i="94"/>
  <c r="I37" i="94"/>
  <c r="I36" i="94" s="1"/>
  <c r="I30" i="94"/>
  <c r="I29" i="94" s="1"/>
  <c r="I28" i="94"/>
  <c r="I26" i="94"/>
  <c r="I24" i="94"/>
  <c r="I74" i="94"/>
  <c r="I57" i="94" l="1"/>
  <c r="I43" i="94"/>
  <c r="I73" i="94"/>
  <c r="I109" i="94"/>
  <c r="I85" i="94"/>
  <c r="I119" i="94"/>
  <c r="I125" i="94"/>
  <c r="I124" i="94" s="1"/>
  <c r="I53" i="94"/>
  <c r="I128" i="94"/>
  <c r="I127" i="94" s="1"/>
  <c r="I114" i="94"/>
  <c r="I137" i="94"/>
  <c r="I136" i="94" s="1"/>
  <c r="I38" i="94"/>
  <c r="I32" i="94"/>
  <c r="I31" i="94" l="1"/>
  <c r="I27" i="90"/>
  <c r="I349" i="90"/>
  <c r="I345" i="90"/>
  <c r="I335" i="90"/>
  <c r="I329" i="90"/>
  <c r="I327" i="90"/>
  <c r="I325" i="90"/>
  <c r="I320" i="90"/>
  <c r="I319" i="90" s="1"/>
  <c r="I314" i="90"/>
  <c r="I311" i="90"/>
  <c r="I306" i="90"/>
  <c r="I293" i="90"/>
  <c r="I286" i="90"/>
  <c r="I281" i="90"/>
  <c r="I278" i="90"/>
  <c r="I273" i="90"/>
  <c r="I266" i="90"/>
  <c r="I262" i="90"/>
  <c r="I251" i="90"/>
  <c r="I249" i="90"/>
  <c r="I247" i="90"/>
  <c r="I245" i="90"/>
  <c r="I243" i="90"/>
  <c r="I241" i="90"/>
  <c r="I239" i="90"/>
  <c r="I237" i="90"/>
  <c r="I232" i="90"/>
  <c r="I230" i="90"/>
  <c r="I228" i="90"/>
  <c r="I223" i="90"/>
  <c r="I219" i="90"/>
  <c r="I216" i="90"/>
  <c r="I210" i="90"/>
  <c r="I206" i="90"/>
  <c r="I199" i="90"/>
  <c r="I197" i="90"/>
  <c r="I195" i="90"/>
  <c r="I193" i="90"/>
  <c r="I191" i="90"/>
  <c r="I189" i="90"/>
  <c r="I187" i="90"/>
  <c r="I186" i="90"/>
  <c r="I180" i="90"/>
  <c r="I174" i="90"/>
  <c r="I178" i="90"/>
  <c r="I171" i="90"/>
  <c r="I168" i="90"/>
  <c r="I163" i="90"/>
  <c r="I161" i="90"/>
  <c r="I159" i="90"/>
  <c r="I153" i="90"/>
  <c r="I152" i="90"/>
  <c r="I142" i="90"/>
  <c r="I140" i="90"/>
  <c r="I135" i="90"/>
  <c r="I136" i="90"/>
  <c r="I134" i="90"/>
  <c r="I130" i="90"/>
  <c r="I123" i="90"/>
  <c r="I122" i="90" s="1"/>
  <c r="I121" i="90" s="1"/>
  <c r="I120" i="90" s="1"/>
  <c r="I119" i="90"/>
  <c r="I118" i="90" s="1"/>
  <c r="I117" i="90" s="1"/>
  <c r="I116" i="90"/>
  <c r="I112" i="90"/>
  <c r="I108" i="90"/>
  <c r="I106" i="90"/>
  <c r="I102" i="90"/>
  <c r="I99" i="90"/>
  <c r="I93" i="90"/>
  <c r="I90" i="90"/>
  <c r="I85" i="90"/>
  <c r="I82" i="90"/>
  <c r="I78" i="90"/>
  <c r="I74" i="90"/>
  <c r="I69" i="90"/>
  <c r="I64" i="90"/>
  <c r="I60" i="90"/>
  <c r="I55" i="90"/>
  <c r="I53" i="90"/>
  <c r="I52" i="90" s="1"/>
  <c r="I51" i="90"/>
  <c r="I49" i="90"/>
  <c r="I44" i="90"/>
  <c r="I43" i="90"/>
  <c r="I41" i="90"/>
  <c r="I35" i="90"/>
  <c r="I348" i="90" l="1"/>
  <c r="I344" i="90"/>
  <c r="I334" i="90"/>
  <c r="I333" i="90" s="1"/>
  <c r="I332" i="90" s="1"/>
  <c r="I328" i="90"/>
  <c r="I326" i="90"/>
  <c r="I324" i="90"/>
  <c r="I313" i="90"/>
  <c r="I312" i="90" s="1"/>
  <c r="I310" i="90"/>
  <c r="I305" i="90"/>
  <c r="I292" i="90"/>
  <c r="I285" i="90"/>
  <c r="I284" i="90" s="1"/>
  <c r="I283" i="90" s="1"/>
  <c r="I280" i="90"/>
  <c r="I279" i="90" s="1"/>
  <c r="I277" i="90"/>
  <c r="I276" i="90" s="1"/>
  <c r="I265" i="90"/>
  <c r="I264" i="90" s="1"/>
  <c r="I263" i="90" s="1"/>
  <c r="I261" i="90"/>
  <c r="I260" i="90" s="1"/>
  <c r="I258" i="90"/>
  <c r="I257" i="90" s="1"/>
  <c r="I255" i="90"/>
  <c r="I254" i="90" s="1"/>
  <c r="I250" i="90"/>
  <c r="I248" i="90"/>
  <c r="I246" i="90"/>
  <c r="I244" i="90"/>
  <c r="I240" i="90"/>
  <c r="I238" i="90"/>
  <c r="I236" i="90"/>
  <c r="I231" i="90"/>
  <c r="I229" i="90"/>
  <c r="I227" i="90"/>
  <c r="I222" i="90"/>
  <c r="I221" i="90" s="1"/>
  <c r="I220" i="90" s="1"/>
  <c r="I218" i="90"/>
  <c r="I217" i="90" s="1"/>
  <c r="I215" i="90"/>
  <c r="I214" i="90" s="1"/>
  <c r="I209" i="90"/>
  <c r="I208" i="90" s="1"/>
  <c r="I205" i="90"/>
  <c r="I204" i="90" s="1"/>
  <c r="I203" i="90" s="1"/>
  <c r="I202" i="90" s="1"/>
  <c r="I200" i="90"/>
  <c r="I198" i="90"/>
  <c r="I196" i="90"/>
  <c r="I194" i="90"/>
  <c r="I192" i="90"/>
  <c r="I190" i="90"/>
  <c r="I188" i="90"/>
  <c r="I179" i="90"/>
  <c r="I173" i="90"/>
  <c r="I172" i="90" s="1"/>
  <c r="I177" i="90"/>
  <c r="I170" i="90"/>
  <c r="I169" i="90" s="1"/>
  <c r="I167" i="90"/>
  <c r="I166" i="90" s="1"/>
  <c r="I162" i="90"/>
  <c r="I160" i="90"/>
  <c r="I158" i="90"/>
  <c r="I157" i="90" s="1"/>
  <c r="I151" i="90"/>
  <c r="I147" i="90" s="1"/>
  <c r="I146" i="90" s="1"/>
  <c r="I145" i="90" s="1"/>
  <c r="I141" i="90"/>
  <c r="I139" i="90"/>
  <c r="I129" i="90"/>
  <c r="I128" i="90" s="1"/>
  <c r="I127" i="90" s="1"/>
  <c r="I115" i="90"/>
  <c r="I114" i="90" s="1"/>
  <c r="I113" i="90" s="1"/>
  <c r="I111" i="90"/>
  <c r="I110" i="90" s="1"/>
  <c r="I109" i="90" s="1"/>
  <c r="I107" i="90"/>
  <c r="I105" i="90"/>
  <c r="I101" i="90"/>
  <c r="I100" i="90" s="1"/>
  <c r="I98" i="90"/>
  <c r="I97" i="90" s="1"/>
  <c r="I92" i="90"/>
  <c r="I91" i="90" s="1"/>
  <c r="I89" i="90"/>
  <c r="I88" i="90" s="1"/>
  <c r="I84" i="90"/>
  <c r="I83" i="90" s="1"/>
  <c r="I81" i="90"/>
  <c r="I77" i="90"/>
  <c r="I73" i="90"/>
  <c r="I68" i="90"/>
  <c r="I67" i="90" s="1"/>
  <c r="I66" i="90" s="1"/>
  <c r="I65" i="90" s="1"/>
  <c r="I63" i="90"/>
  <c r="I62" i="90" s="1"/>
  <c r="I61" i="90" s="1"/>
  <c r="I59" i="90"/>
  <c r="I58" i="90" s="1"/>
  <c r="I57" i="90" s="1"/>
  <c r="I56" i="90" s="1"/>
  <c r="I54" i="90"/>
  <c r="I50" i="90"/>
  <c r="I48" i="90"/>
  <c r="I39" i="90"/>
  <c r="I34" i="90"/>
  <c r="I33" i="90" s="1"/>
  <c r="I28" i="90"/>
  <c r="I26" i="90" s="1"/>
  <c r="I138" i="90" l="1"/>
  <c r="I165" i="90"/>
  <c r="I213" i="90"/>
  <c r="I212" i="90" s="1"/>
  <c r="I275" i="90"/>
  <c r="I274" i="90" s="1"/>
  <c r="I156" i="90"/>
  <c r="I155" i="90" s="1"/>
  <c r="I176" i="90"/>
  <c r="I175" i="90" s="1"/>
  <c r="I104" i="90"/>
  <c r="I103" i="90" s="1"/>
  <c r="I323" i="90"/>
  <c r="I322" i="90" s="1"/>
  <c r="I321" i="90" s="1"/>
  <c r="I137" i="90"/>
  <c r="I185" i="90"/>
  <c r="I184" i="90" s="1"/>
  <c r="I183" i="90" s="1"/>
  <c r="I182" i="90" s="1"/>
  <c r="B25" i="106" s="1"/>
  <c r="B26" i="106" s="1"/>
  <c r="I253" i="90"/>
  <c r="I252" i="90" s="1"/>
  <c r="I242" i="90"/>
  <c r="I233" i="90" s="1"/>
  <c r="I207" i="90"/>
  <c r="I309" i="90"/>
  <c r="I308" i="90"/>
  <c r="I307" i="90" s="1"/>
  <c r="I42" i="90"/>
  <c r="I46" i="90"/>
  <c r="I45" i="90" s="1"/>
  <c r="I226" i="90"/>
  <c r="I25" i="90"/>
  <c r="I24" i="90" s="1"/>
  <c r="I23" i="90" s="1"/>
  <c r="I133" i="90"/>
  <c r="I132" i="90" s="1"/>
  <c r="I131" i="90" s="1"/>
  <c r="I164" i="90" l="1"/>
  <c r="I154" i="90" s="1"/>
  <c r="I225" i="90"/>
  <c r="I224" i="90" s="1"/>
  <c r="I181" i="90"/>
  <c r="I318" i="90"/>
  <c r="I317" i="90" s="1"/>
  <c r="I316" i="90" s="1"/>
  <c r="I315" i="90" s="1"/>
  <c r="J115" i="92"/>
  <c r="J114" i="92" s="1"/>
  <c r="J83" i="92"/>
  <c r="J82" i="92" s="1"/>
  <c r="I38" i="90"/>
  <c r="I37" i="90" s="1"/>
  <c r="I36" i="90" s="1"/>
  <c r="I32" i="90" s="1"/>
  <c r="I31" i="90" s="1"/>
  <c r="J362" i="92"/>
  <c r="J361" i="92" s="1"/>
  <c r="J360" i="92" s="1"/>
  <c r="J359" i="92" s="1"/>
  <c r="J356" i="92"/>
  <c r="J354" i="92"/>
  <c r="J345" i="92"/>
  <c r="J341" i="92"/>
  <c r="J340" i="92" s="1"/>
  <c r="J335" i="92"/>
  <c r="J334" i="92" s="1"/>
  <c r="J333" i="92" s="1"/>
  <c r="J331" i="92"/>
  <c r="J330" i="92" s="1"/>
  <c r="J329" i="92" s="1"/>
  <c r="J325" i="92"/>
  <c r="J323" i="92"/>
  <c r="J321" i="92"/>
  <c r="J316" i="92"/>
  <c r="J310" i="92"/>
  <c r="J309" i="92" s="1"/>
  <c r="J308" i="92" s="1"/>
  <c r="J306" i="92"/>
  <c r="J305" i="92" s="1"/>
  <c r="J303" i="92"/>
  <c r="J298" i="92"/>
  <c r="J285" i="92"/>
  <c r="J278" i="92"/>
  <c r="J277" i="92" s="1"/>
  <c r="J276" i="92" s="1"/>
  <c r="J273" i="92"/>
  <c r="J272" i="92" s="1"/>
  <c r="J270" i="92"/>
  <c r="J269" i="92" s="1"/>
  <c r="J258" i="92"/>
  <c r="J257" i="92" s="1"/>
  <c r="J254" i="92"/>
  <c r="J253" i="92" s="1"/>
  <c r="J251" i="92"/>
  <c r="J250" i="92" s="1"/>
  <c r="J248" i="92"/>
  <c r="J247" i="92" s="1"/>
  <c r="J243" i="92"/>
  <c r="J241" i="92"/>
  <c r="J239" i="92"/>
  <c r="J237" i="92"/>
  <c r="J233" i="92"/>
  <c r="J231" i="92"/>
  <c r="J224" i="92"/>
  <c r="J222" i="92"/>
  <c r="J220" i="92"/>
  <c r="J215" i="92"/>
  <c r="J214" i="92" s="1"/>
  <c r="J213" i="92" s="1"/>
  <c r="J211" i="92"/>
  <c r="J210" i="92" s="1"/>
  <c r="J206" i="92" s="1"/>
  <c r="J208" i="92"/>
  <c r="J207" i="92" s="1"/>
  <c r="J202" i="92"/>
  <c r="J201" i="92" s="1"/>
  <c r="J198" i="92"/>
  <c r="J197" i="92" s="1"/>
  <c r="J196" i="92" s="1"/>
  <c r="J195" i="92" s="1"/>
  <c r="J193" i="92"/>
  <c r="J191" i="92"/>
  <c r="J189" i="92"/>
  <c r="J187" i="92"/>
  <c r="J185" i="92"/>
  <c r="J183" i="92"/>
  <c r="J181" i="92"/>
  <c r="J178" i="92"/>
  <c r="J172" i="92"/>
  <c r="J166" i="92"/>
  <c r="J165" i="92" s="1"/>
  <c r="J170" i="92"/>
  <c r="J163" i="92"/>
  <c r="J162" i="92" s="1"/>
  <c r="J160" i="92"/>
  <c r="J159" i="92" s="1"/>
  <c r="J155" i="92"/>
  <c r="J153" i="92"/>
  <c r="J151" i="92"/>
  <c r="J144" i="92"/>
  <c r="J140" i="92" s="1"/>
  <c r="J139" i="92" s="1"/>
  <c r="J138" i="92" s="1"/>
  <c r="J366" i="92" s="1"/>
  <c r="J134" i="92"/>
  <c r="J132" i="92"/>
  <c r="J131" i="92" s="1"/>
  <c r="J126" i="92"/>
  <c r="J125" i="92" s="1"/>
  <c r="J124" i="92" s="1"/>
  <c r="J119" i="92"/>
  <c r="J118" i="92" s="1"/>
  <c r="J112" i="92"/>
  <c r="J111" i="92" s="1"/>
  <c r="J108" i="92"/>
  <c r="J107" i="92" s="1"/>
  <c r="J106" i="92" s="1"/>
  <c r="J104" i="92"/>
  <c r="J102" i="92"/>
  <c r="J98" i="92"/>
  <c r="J97" i="92" s="1"/>
  <c r="J95" i="92"/>
  <c r="J94" i="92" s="1"/>
  <c r="J92" i="92"/>
  <c r="J91" i="92" s="1"/>
  <c r="J86" i="92"/>
  <c r="J85" i="92" s="1"/>
  <c r="J78" i="92"/>
  <c r="J77" i="92" s="1"/>
  <c r="J75" i="92"/>
  <c r="J71" i="92"/>
  <c r="J67" i="92"/>
  <c r="J62" i="92"/>
  <c r="J61" i="92" s="1"/>
  <c r="J60" i="92" s="1"/>
  <c r="J59" i="92" s="1"/>
  <c r="J57" i="92"/>
  <c r="J56" i="92" s="1"/>
  <c r="J55" i="92" s="1"/>
  <c r="J53" i="92"/>
  <c r="J52" i="92" s="1"/>
  <c r="J51" i="92" s="1"/>
  <c r="J50" i="92" s="1"/>
  <c r="J48" i="92"/>
  <c r="J46" i="92"/>
  <c r="J44" i="92"/>
  <c r="J42" i="92"/>
  <c r="J34" i="92"/>
  <c r="J31" i="92"/>
  <c r="J26" i="92"/>
  <c r="J25" i="92" s="1"/>
  <c r="J226" i="92" l="1"/>
  <c r="J328" i="92"/>
  <c r="J268" i="92"/>
  <c r="J205" i="92"/>
  <c r="J150" i="92"/>
  <c r="J149" i="92" s="1"/>
  <c r="J148" i="92" s="1"/>
  <c r="J158" i="92"/>
  <c r="J169" i="92"/>
  <c r="J168" i="92" s="1"/>
  <c r="J314" i="92"/>
  <c r="J29" i="92"/>
  <c r="J28" i="92" s="1"/>
  <c r="J24" i="92" s="1"/>
  <c r="J101" i="92"/>
  <c r="J100" i="92" s="1"/>
  <c r="J296" i="92"/>
  <c r="J295" i="92" s="1"/>
  <c r="I95" i="94"/>
  <c r="I94" i="94" s="1"/>
  <c r="I304" i="90"/>
  <c r="I303" i="90" s="1"/>
  <c r="I302" i="90" s="1"/>
  <c r="J69" i="92"/>
  <c r="I25" i="94"/>
  <c r="I23" i="94" s="1"/>
  <c r="I22" i="94" s="1"/>
  <c r="I76" i="90"/>
  <c r="I75" i="90" s="1"/>
  <c r="J283" i="92"/>
  <c r="J282" i="92" s="1"/>
  <c r="J281" i="92" s="1"/>
  <c r="J280" i="92" s="1"/>
  <c r="J275" i="92" s="1"/>
  <c r="J370" i="92" s="1"/>
  <c r="I80" i="94"/>
  <c r="I79" i="94" s="1"/>
  <c r="I291" i="90"/>
  <c r="I290" i="90" s="1"/>
  <c r="I289" i="90" s="1"/>
  <c r="I288" i="90" s="1"/>
  <c r="I287" i="90" s="1"/>
  <c r="I282" i="90" s="1"/>
  <c r="I83" i="94"/>
  <c r="I82" i="94" s="1"/>
  <c r="I298" i="90"/>
  <c r="I297" i="90" s="1"/>
  <c r="I69" i="94"/>
  <c r="I272" i="90"/>
  <c r="I339" i="90"/>
  <c r="I338" i="90" s="1"/>
  <c r="I337" i="90" s="1"/>
  <c r="I336" i="90" s="1"/>
  <c r="I68" i="94"/>
  <c r="I271" i="90"/>
  <c r="J347" i="92"/>
  <c r="I93" i="94"/>
  <c r="I351" i="90"/>
  <c r="I350" i="90" s="1"/>
  <c r="I343" i="90" s="1"/>
  <c r="J89" i="92"/>
  <c r="J88" i="92" s="1"/>
  <c r="J81" i="92" s="1"/>
  <c r="J80" i="92" s="1"/>
  <c r="I104" i="94"/>
  <c r="I103" i="94" s="1"/>
  <c r="I96" i="90"/>
  <c r="I95" i="90" s="1"/>
  <c r="I94" i="90" s="1"/>
  <c r="J130" i="92"/>
  <c r="J110" i="92"/>
  <c r="J263" i="92"/>
  <c r="J262" i="92" s="1"/>
  <c r="J261" i="92" s="1"/>
  <c r="J353" i="92"/>
  <c r="J352" i="92" s="1"/>
  <c r="J351" i="92" s="1"/>
  <c r="J350" i="92" s="1"/>
  <c r="J349" i="92" s="1"/>
  <c r="J219" i="92"/>
  <c r="J38" i="92"/>
  <c r="J37" i="92" s="1"/>
  <c r="J246" i="92"/>
  <c r="J245" i="92" s="1"/>
  <c r="J200" i="92"/>
  <c r="J267" i="92"/>
  <c r="J320" i="92"/>
  <c r="J319" i="92" s="1"/>
  <c r="J318" i="92" s="1"/>
  <c r="J327" i="92"/>
  <c r="J373" i="92" s="1"/>
  <c r="J301" i="92"/>
  <c r="J300" i="92" s="1"/>
  <c r="J302" i="92"/>
  <c r="J177" i="92"/>
  <c r="J176" i="92" s="1"/>
  <c r="J175" i="92" s="1"/>
  <c r="J66" i="92" l="1"/>
  <c r="J65" i="92" s="1"/>
  <c r="J64" i="92" s="1"/>
  <c r="I72" i="90"/>
  <c r="I71" i="90" s="1"/>
  <c r="I296" i="90"/>
  <c r="I78" i="94"/>
  <c r="I98" i="94"/>
  <c r="I97" i="94" s="1"/>
  <c r="J23" i="92"/>
  <c r="I87" i="90"/>
  <c r="I86" i="90" s="1"/>
  <c r="I331" i="90"/>
  <c r="I330" i="90" s="1"/>
  <c r="I342" i="90"/>
  <c r="I341" i="90" s="1"/>
  <c r="I340" i="90" s="1"/>
  <c r="J339" i="92"/>
  <c r="J338" i="92" s="1"/>
  <c r="J337" i="92" s="1"/>
  <c r="J374" i="92" s="1"/>
  <c r="J313" i="92"/>
  <c r="J312" i="92" s="1"/>
  <c r="J157" i="92"/>
  <c r="I270" i="90"/>
  <c r="I269" i="90" s="1"/>
  <c r="I268" i="90" s="1"/>
  <c r="I267" i="90" s="1"/>
  <c r="I211" i="90" s="1"/>
  <c r="I67" i="94"/>
  <c r="I42" i="94" s="1"/>
  <c r="J260" i="92"/>
  <c r="J174" i="92"/>
  <c r="J368" i="92" s="1"/>
  <c r="J218" i="92"/>
  <c r="I70" i="90" l="1"/>
  <c r="I22" i="90" s="1"/>
  <c r="I295" i="90"/>
  <c r="I294" i="90" s="1"/>
  <c r="J217" i="92"/>
  <c r="J204" i="92" s="1"/>
  <c r="J369" i="92" s="1"/>
  <c r="J376" i="92"/>
  <c r="J288" i="92"/>
  <c r="J287" i="92" s="1"/>
  <c r="J371" i="92" s="1"/>
  <c r="J147" i="92"/>
  <c r="J367" i="92" s="1"/>
  <c r="I144" i="94"/>
  <c r="J22" i="92"/>
  <c r="I352" i="90" l="1"/>
  <c r="J21" i="92"/>
  <c r="J364" i="92" s="1"/>
  <c r="C29" i="99" s="1"/>
  <c r="J365" i="92"/>
  <c r="J375" i="92" s="1"/>
  <c r="C25" i="84" l="1"/>
  <c r="C27" i="84"/>
  <c r="C29" i="84"/>
  <c r="C32" i="84"/>
  <c r="C43" i="84"/>
  <c r="C35" i="84"/>
  <c r="C24" i="84" l="1"/>
  <c r="C46" i="84"/>
  <c r="C45" i="84" s="1"/>
  <c r="C51" i="84" l="1"/>
  <c r="I353" i="90" s="1"/>
  <c r="I354" i="90" s="1"/>
  <c r="C28" i="99"/>
  <c r="C27" i="99" s="1"/>
  <c r="C26" i="99" s="1"/>
  <c r="C25" i="99" l="1"/>
  <c r="C24" i="99" s="1"/>
  <c r="C23" i="99" s="1"/>
  <c r="C22" i="99" s="1"/>
  <c r="C21" i="99" s="1"/>
  <c r="C20" i="99" s="1"/>
  <c r="J377" i="92"/>
  <c r="J378" i="92" s="1"/>
</calcChain>
</file>

<file path=xl/sharedStrings.xml><?xml version="1.0" encoding="utf-8"?>
<sst xmlns="http://schemas.openxmlformats.org/spreadsheetml/2006/main" count="9003" uniqueCount="527">
  <si>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</si>
  <si>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</si>
  <si>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</si>
  <si>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</si>
  <si>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</si>
  <si>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</si>
  <si>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</si>
  <si>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</si>
  <si>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</si>
  <si>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</si>
  <si>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</si>
  <si>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</si>
  <si>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</si>
  <si>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</si>
  <si>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</si>
  <si>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</si>
  <si>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</si>
  <si>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</si>
  <si>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</si>
  <si>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</si>
  <si>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</si>
  <si>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</si>
  <si>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</si>
  <si>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</si>
  <si>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</si>
  <si>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</si>
  <si>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</si>
  <si>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</si>
  <si>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</si>
  <si>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</si>
  <si>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</si>
  <si>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</si>
  <si>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</si>
  <si>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</si>
  <si>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</si>
  <si>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</si>
  <si>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</si>
  <si>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</si>
  <si>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</si>
  <si>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</si>
  <si>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</si>
  <si>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</si>
  <si>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</si>
  <si>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</si>
  <si>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</si>
  <si>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</si>
  <si>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</si>
  <si>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</si>
  <si>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</si>
  <si>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</si>
  <si>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</si>
  <si>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</si>
  <si>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</si>
  <si>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2023 год</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</si>
  <si>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</si>
  <si>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</si>
  <si>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</si>
  <si>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</si>
  <si>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</si>
  <si>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</si>
  <si>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</si>
  <si>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</si>
  <si>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</si>
  <si>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</si>
  <si>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</si>
  <si>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</si>
  <si>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</si>
  <si>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</si>
  <si>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</si>
  <si>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</si>
  <si>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</si>
  <si>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</si>
  <si>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</si>
  <si>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</si>
  <si>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</si>
  <si>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</si>
  <si>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</si>
  <si>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</si>
  <si>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</si>
  <si>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</si>
  <si>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</si>
  <si>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</si>
  <si>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</si>
  <si>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</si>
  <si>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</si>
  <si>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</si>
  <si>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</si>
  <si>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</si>
  <si>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</si>
  <si>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</si>
  <si>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</si>
  <si>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</si>
  <si>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</si>
  <si>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</si>
  <si>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</si>
  <si>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</si>
  <si>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</si>
  <si>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</si>
  <si>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</si>
  <si>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</si>
  <si>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</si>
  <si>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</si>
  <si>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</si>
  <si>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</si>
  <si>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</si>
  <si>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</si>
  <si>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</si>
  <si>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</si>
  <si>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</si>
  <si>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</si>
  <si>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</si>
  <si>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</si>
  <si>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</si>
  <si>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</si>
  <si>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</si>
  <si>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</si>
  <si>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</si>
  <si>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</si>
  <si>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</si>
  <si>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</si>
  <si>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</si>
  <si>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</si>
  <si>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</si>
  <si>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</si>
  <si>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</si>
  <si>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</si>
  <si>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</si>
  <si>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</si>
  <si>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</si>
  <si>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</si>
  <si>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</si>
  <si>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</si>
  <si>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</si>
  <si>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</si>
  <si>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</si>
  <si>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</si>
  <si>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</si>
  <si>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</si>
  <si>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</si>
  <si>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</si>
  <si>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</si>
  <si>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</si>
  <si>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</si>
  <si>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</si>
  <si>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</si>
  <si>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</si>
  <si>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</si>
  <si>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</si>
  <si>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</si>
  <si>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</si>
  <si>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</si>
  <si>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</si>
  <si>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</si>
  <si>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</si>
  <si>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</si>
  <si>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</si>
  <si>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</si>
  <si>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</si>
  <si>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</si>
  <si>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</si>
  <si>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</si>
  <si>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</si>
  <si>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</si>
  <si>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</si>
  <si>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</si>
  <si>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</si>
  <si>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</si>
  <si>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</si>
  <si>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</si>
  <si>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</si>
  <si>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</si>
  <si>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</si>
  <si>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</si>
  <si>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</si>
  <si>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</si>
  <si>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</si>
  <si>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</si>
  <si>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</si>
  <si>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</si>
  <si>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</si>
  <si>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</si>
  <si>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</si>
  <si>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</si>
  <si>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</si>
  <si>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</si>
  <si>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</si>
  <si>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</si>
  <si>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</si>
  <si>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</si>
  <si>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</si>
  <si>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</si>
  <si>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</si>
  <si>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</si>
  <si>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</si>
  <si>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</si>
  <si>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</si>
  <si>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</si>
  <si>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</si>
  <si>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</si>
  <si>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</si>
  <si>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</si>
  <si>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</si>
  <si>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</si>
  <si>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</si>
  <si>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</si>
  <si>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</si>
  <si>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</si>
  <si>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</si>
  <si>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</si>
  <si>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</si>
  <si>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</si>
  <si>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</si>
  <si>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</si>
  <si>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</si>
  <si>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</si>
  <si>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</si>
  <si>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</si>
  <si>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</si>
  <si>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</si>
  <si>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</si>
  <si>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</si>
  <si>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</si>
  <si>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</si>
  <si>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</si>
  <si>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</si>
  <si>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</si>
  <si>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</si>
  <si>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</si>
  <si>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</si>
  <si>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</si>
  <si>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</si>
  <si>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</si>
  <si>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</si>
  <si>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</si>
  <si>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</si>
  <si>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</si>
  <si>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</si>
  <si>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</si>
  <si>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</si>
  <si>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</si>
  <si>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</si>
  <si>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</si>
  <si>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</si>
  <si>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</si>
  <si>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</si>
  <si>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</si>
  <si>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</si>
  <si>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</si>
  <si>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</si>
  <si>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</si>
  <si>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</si>
  <si>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</si>
  <si>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</si>
  <si>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</si>
  <si>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</si>
  <si>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</si>
  <si>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</si>
  <si>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</si>
  <si>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</si>
  <si>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</si>
  <si>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</si>
  <si>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</si>
  <si>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</si>
  <si>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</si>
  <si>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</si>
  <si>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</si>
  <si>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</si>
  <si>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</si>
  <si>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</si>
  <si>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</si>
  <si>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</si>
  <si>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</si>
  <si>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</si>
  <si>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</si>
  <si>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</si>
  <si>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</si>
  <si>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</si>
  <si>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</si>
  <si>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</si>
  <si>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</si>
  <si>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</si>
  <si>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</si>
  <si>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</si>
  <si>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</si>
  <si>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</si>
  <si>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</si>
  <si>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</si>
  <si>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</si>
  <si>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</si>
  <si>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</si>
  <si>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</si>
  <si>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</si>
  <si>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</si>
  <si>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</si>
  <si>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</si>
  <si>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</si>
  <si>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</si>
  <si>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</si>
  <si>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</si>
  <si>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</si>
  <si>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</si>
  <si>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</si>
  <si>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</si>
  <si>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</si>
  <si>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</si>
  <si>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МАУК "ДК "ХИМИК"</t>
  </si>
  <si>
    <t>L4670</t>
  </si>
  <si>
    <t>Развитие и поддержание информационной системы МКУК "ППБ"</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</si>
  <si>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</si>
  <si>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</si>
  <si>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</si>
  <si>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</si>
  <si>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</si>
  <si>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</si>
  <si>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</si>
  <si>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</si>
  <si>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</si>
  <si>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</si>
  <si>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</si>
  <si>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</si>
  <si>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</si>
  <si>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</si>
  <si>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</si>
  <si>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</si>
  <si>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</si>
  <si>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</si>
  <si>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</si>
  <si>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</si>
  <si>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7</t>
  </si>
  <si>
    <t>ГРБС</t>
  </si>
  <si>
    <t>Раз-дел</t>
  </si>
  <si>
    <t>Под-раз-дел</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</si>
  <si>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</si>
  <si>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</si>
  <si>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</si>
  <si>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</si>
  <si>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</si>
  <si>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</si>
  <si>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</si>
  <si>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</si>
  <si>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</si>
  <si>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</si>
  <si>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</si>
  <si>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</si>
  <si>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</si>
  <si>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</si>
  <si>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</si>
  <si>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</si>
  <si>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</si>
  <si>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</si>
  <si>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</si>
  <si>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</si>
  <si>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</si>
  <si>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</si>
  <si>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</si>
  <si>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</si>
  <si>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</si>
  <si>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</si>
  <si>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</si>
  <si>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</si>
  <si>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</si>
  <si>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</si>
  <si>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</si>
  <si>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</si>
  <si>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</si>
  <si>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</si>
  <si>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</si>
  <si>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</si>
  <si>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</si>
  <si>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</si>
  <si>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</si>
  <si>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</si>
  <si>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</si>
  <si>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</si>
  <si>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</si>
  <si>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</si>
  <si>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</si>
  <si>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</si>
  <si>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</si>
  <si>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</si>
  <si>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</si>
  <si>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</si>
  <si>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</si>
  <si>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</si>
  <si>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</si>
  <si>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</si>
  <si>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</si>
  <si>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</si>
  <si>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</si>
  <si>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</si>
  <si>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</si>
  <si>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</si>
  <si>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</si>
  <si>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</si>
  <si>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</si>
  <si>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</si>
  <si>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</si>
  <si>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2024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</si>
  <si>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</si>
  <si>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</si>
  <si>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</si>
  <si>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</si>
  <si>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</si>
  <si>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</si>
  <si>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</si>
  <si>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</si>
  <si>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</si>
  <si>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</si>
  <si>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</si>
  <si>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</si>
  <si>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</si>
  <si>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</si>
  <si>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</si>
  <si>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</si>
  <si>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</si>
  <si>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</si>
  <si>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5</t>
  </si>
  <si>
    <t>Накопление запасов продовольственных и медицинских средств в целях гражданской обороны</t>
  </si>
  <si>
    <t>на 2023 год</t>
  </si>
  <si>
    <t>на 2023 год и на плановый период 2024 и 2025 годов"</t>
  </si>
  <si>
    <t>2025 год</t>
  </si>
  <si>
    <t>Ведомственная структура расходов бюджета муниципального образования рабочий поселок Первомайский Щекинского района на 2023 год</t>
  </si>
  <si>
    <t>Расходы за счет передаваемых полномочий по организации ритуальных услуг и содержание мест захоронения</t>
  </si>
  <si>
    <t>540</t>
  </si>
  <si>
    <t>Жилищно-коммунальное хозяйство</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</si>
  <si>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2023 год</t>
  </si>
  <si>
    <t xml:space="preserve">бюджета муниципального образования рабочий поселок Первомайский Щекинского района на 2023 год </t>
  </si>
  <si>
    <t>Расходы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</si>
  <si>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Мероприятие "Ремонт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</si>
  <si>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</si>
  <si>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</si>
  <si>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</si>
  <si>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</si>
  <si>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</si>
  <si>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</si>
  <si>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от "14" декабря 2022 года №74-245</t>
  </si>
  <si>
    <t>"О внесении изменений в Решение Собрания депутатов</t>
  </si>
  <si>
    <t>образования рабочий поселок Первомайский Щекинского</t>
  </si>
  <si>
    <t>Приложение № 3</t>
  </si>
  <si>
    <t>Приложение № 2</t>
  </si>
  <si>
    <t>от 14.12.2022 года №74-245 "О бюджете муниципального</t>
  </si>
  <si>
    <t>района на 2023 год и на плановый период 2024 и 2025 годов"</t>
  </si>
  <si>
    <t>Группа, под-группа видов рас-ходов</t>
  </si>
  <si>
    <t>Обеспечение деятельности МАУК "ППБ"</t>
  </si>
  <si>
    <t>Подпрограмма "Обеспечение деятельности МАУК "ППБ""</t>
  </si>
  <si>
    <t>Первомайский Щекинского района по группам, подгруппам</t>
  </si>
  <si>
    <t>2881Р</t>
  </si>
  <si>
    <t>Резервные фонды местных администраций (обязательства предыдущего финансового периода)</t>
  </si>
  <si>
    <t>29730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</si>
  <si>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</si>
  <si>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</si>
  <si>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Вложение в объекты муниципальной собственности</t>
  </si>
  <si>
    <t>29280</t>
  </si>
  <si>
    <t>Приложение № 4</t>
  </si>
  <si>
    <t>таблица 1</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</si>
  <si>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</si>
  <si>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</si>
  <si>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</si>
  <si>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</si>
  <si>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</si>
  <si>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</si>
  <si>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образования&lt;6&gt;</t>
  </si>
  <si>
    <t>Организация ритуальных услуг и содержание захоронений &lt;7&gt;</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</si>
  <si>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</si>
  <si>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</si>
  <si>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</si>
  <si>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материально-техническое обеспечение</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</si>
  <si>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</si>
  <si>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</si>
  <si>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</si>
  <si>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</si>
  <si>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</si>
  <si>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</si>
  <si>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2025 года.</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</si>
  <si>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2025 года.</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</si>
  <si>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</si>
  <si>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таблица 2</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</si>
  <si>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</si>
  <si>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</si>
  <si>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2023 год</t>
  </si>
  <si>
    <t>Сумма на 2023 год</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</si>
  <si>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</si>
  <si>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Приложение № 6</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</si>
  <si>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</si>
  <si>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</si>
  <si>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</si>
  <si>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</si>
  <si>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Ремонт и обслуживание компьютерной,  копировальной техники и видеонаблюдения. Приобретение  комплектующих и расходных материалов к ним»</t>
  </si>
  <si>
    <t>Приложение № 8</t>
  </si>
  <si>
    <t>Ведомственная структура расходов бюджета муниципального образования рабочий поселок Первомайский Щекинского района на плановый период 2024 и 2025 годов</t>
  </si>
  <si>
    <t>Груп-па, под-группа видов рас-ходов</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</si>
  <si>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</si>
  <si>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10</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</si>
  <si>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2024 и 2025 годов</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</si>
  <si>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</si>
  <si>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</si>
  <si>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</si>
  <si>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Развитие и поддержание информационной системы МАУК "ППБ"</t>
  </si>
  <si>
    <t xml:space="preserve">Доходы бюджета муниципального образования рабочий поселок                                                 </t>
  </si>
  <si>
    <t xml:space="preserve">Первомайский Щекиснкого района по группам, подгруппам                                               </t>
  </si>
  <si>
    <t>на плановый период 2024 и 2025 годов</t>
  </si>
  <si>
    <t>Наименование группы, подгруппы и статьи 
классификации доходов</t>
  </si>
  <si>
    <t>000 2 07 00000 00 0000 000</t>
  </si>
  <si>
    <t>ПРОЧИЕ БЕЗВОЗМЕЗДНЫЕ ПОСТУПЛЕНИЯ</t>
  </si>
  <si>
    <t>от "___" ____________ 2023 года №______</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</si>
  <si>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</si>
  <si>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</si>
  <si>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</si>
  <si>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</si>
  <si>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</si>
  <si>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</si>
  <si>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000 1 16 10000 00 0000 140</t>
  </si>
  <si>
    <t>Платежи в целях возмещения причиненного ущерба (убытков)</t>
  </si>
  <si>
    <t>Расходы на выплаты по оплате труда работников органов местного самоуправления в рамках непрограммного направления деятельности</t>
  </si>
  <si>
    <t>29300</t>
  </si>
  <si>
    <t>Приобретение спортивного инвентаря</t>
  </si>
  <si>
    <t>Приложение № 13</t>
  </si>
  <si>
    <t>на 2023 год и на плановый период 2024 и 2025 годов</t>
  </si>
  <si>
    <t>Объем бюджетных ассигнований дорожного фонда муниципального образования рабочий поселок Первомайский Щекинского района на 2023 год в на плановый период 2024 и 2025 годов</t>
  </si>
  <si>
    <t>Источники формирования муниципального дорожного фонда</t>
  </si>
  <si>
    <t>Остаток средств фонда на 1 января очередного финансового года</t>
  </si>
  <si>
    <t>Приложение № 17</t>
  </si>
  <si>
    <t>бюджета муниципального образования рабочий поселок Первомайский Щекинского района на плановый период 2024 и 2025 годов</t>
  </si>
  <si>
    <t>Приложение № 12</t>
  </si>
  <si>
    <t>Приложение № 11</t>
  </si>
  <si>
    <t>&lt;2&gt;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обеспечению общественного порядка, предупреждению и пресечению правонарушений,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зарегистрированных на территории i-го муниципального образования,выполнение полномочия органов местного самоуправления по решению вопросов местного значения по организации и осуществлению мероприятий по обеспечению общественного порядка, предупреждению и пресечению правонарушений,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зарегистрированных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</si>
  <si>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оказанию поддержки гражданам и их объединениям, участвующим в охране общественного порядка, созданию условий для деятельности народных дружин &lt;2&gt;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</si>
</sst>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
    <numFmt numFmtId="166" formatCode="00"/>
    <numFmt numFmtId="167" formatCode="000"/>
    <numFmt numFmtId="168" formatCode="0.0"/>
  </numFmts>
  <fonts count="29"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
      <b/>
      <sz val="12"/>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7">
    <xf numFmtId="0" fontId="0" fillId="0" borderId="0"/>
    <xf numFmtId="0" fontId="6" fillId="0" borderId="1" applyNumberFormat="0">
      <alignment horizontal="right" vertical="top"/>
    </xf>
    <xf numFmtId="0" fontId="6" fillId="0" borderId="1" applyNumberFormat="0">
      <alignment horizontal="right" vertical="top"/>
    </xf>
    <xf numFmtId="0" fontId="5" fillId="4" borderId="1" applyNumberFormat="0">
      <alignment horizontal="right" vertical="top"/>
    </xf>
    <xf numFmtId="49" fontId="6" fillId="5" borderId="1">
      <alignment horizontal="left" vertical="top"/>
    </xf>
    <xf numFmtId="49" fontId="7" fillId="0" borderId="1">
      <alignment horizontal="left" vertical="top"/>
    </xf>
    <xf numFmtId="49" fontId="6" fillId="5" borderId="1">
      <alignment horizontal="left" vertical="top"/>
    </xf>
    <xf numFmtId="0" fontId="6" fillId="6" borderId="1">
      <alignment horizontal="left" vertical="top" wrapText="1"/>
    </xf>
    <xf numFmtId="0" fontId="7" fillId="0" borderId="1">
      <alignment horizontal="left" vertical="top" wrapText="1"/>
    </xf>
    <xf numFmtId="0" fontId="5" fillId="2" borderId="1">
      <alignment horizontal="left" vertical="top" wrapText="1"/>
    </xf>
    <xf numFmtId="0" fontId="5" fillId="7" borderId="1">
      <alignment horizontal="left" vertical="top" wrapText="1"/>
    </xf>
    <xf numFmtId="0" fontId="6" fillId="8" borderId="1">
      <alignment horizontal="left" vertical="top" wrapText="1"/>
    </xf>
    <xf numFmtId="0" fontId="6" fillId="9" borderId="1">
      <alignment horizontal="left" vertical="top" wrapText="1"/>
    </xf>
    <xf numFmtId="0" fontId="5" fillId="0" borderId="1">
      <alignment horizontal="left" vertical="top" wrapText="1"/>
    </xf>
    <xf numFmtId="0" fontId="6" fillId="9" borderId="1">
      <alignment horizontal="left" vertical="top" wrapText="1"/>
    </xf>
    <xf numFmtId="0" fontId="8" fillId="0" borderId="0">
      <alignment horizontal="left" vertical="top"/>
    </xf>
    <xf numFmtId="0" fontId="6" fillId="0" borderId="0"/>
    <xf numFmtId="0" fontId="10" fillId="0" borderId="0"/>
    <xf numFmtId="0" fontId="5" fillId="3" borderId="2" applyNumberFormat="0">
      <alignment horizontal="right" vertical="top"/>
    </xf>
    <xf numFmtId="0" fontId="5" fillId="2" borderId="2" applyNumberFormat="0">
      <alignment horizontal="right" vertical="top"/>
    </xf>
    <xf numFmtId="0" fontId="5" fillId="0" borderId="1" applyNumberFormat="0">
      <alignment horizontal="right" vertical="top"/>
    </xf>
    <xf numFmtId="0" fontId="5" fillId="2" borderId="2" applyNumberFormat="0">
      <alignment horizontal="right" vertical="top"/>
    </xf>
    <xf numFmtId="0" fontId="5" fillId="0" borderId="1" applyNumberFormat="0">
      <alignment horizontal="right" vertical="top"/>
    </xf>
    <xf numFmtId="0" fontId="5" fillId="3" borderId="2" applyNumberFormat="0">
      <alignment horizontal="right" vertical="top"/>
    </xf>
    <xf numFmtId="0" fontId="5" fillId="7" borderId="2" applyNumberFormat="0">
      <alignment horizontal="right" vertical="top"/>
    </xf>
    <xf numFmtId="0" fontId="5" fillId="0" borderId="1" applyNumberFormat="0">
      <alignment horizontal="right" vertical="top"/>
    </xf>
    <xf numFmtId="0" fontId="5" fillId="7" borderId="2" applyNumberFormat="0">
      <alignment horizontal="right" vertical="top"/>
    </xf>
    <xf numFmtId="49" fontId="9" fillId="10" borderId="1">
      <alignment horizontal="left" vertical="top" wrapText="1"/>
    </xf>
    <xf numFmtId="49" fontId="5" fillId="0" borderId="1">
      <alignment horizontal="left" vertical="top" wrapText="1"/>
    </xf>
    <xf numFmtId="49" fontId="9" fillId="10" borderId="1">
      <alignment horizontal="left" vertical="top" wrapText="1"/>
    </xf>
    <xf numFmtId="164" fontId="11" fillId="0" borderId="0" applyFont="0" applyFill="0" applyBorder="0" applyAlignment="0" applyProtection="0"/>
    <xf numFmtId="0" fontId="6" fillId="9" borderId="1">
      <alignment horizontal="left" vertical="top" wrapText="1"/>
    </xf>
    <xf numFmtId="0" fontId="5" fillId="0" borderId="1">
      <alignment horizontal="left" vertical="top" wrapText="1"/>
    </xf>
    <xf numFmtId="0" fontId="11" fillId="0" borderId="1">
      <alignment horizontal="left" vertical="top" wrapText="1"/>
    </xf>
    <xf numFmtId="0" fontId="6" fillId="9" borderId="1">
      <alignment horizontal="left" vertical="top" wrapText="1"/>
    </xf>
    <xf numFmtId="0" fontId="5" fillId="0" borderId="1">
      <alignment horizontal="left" vertical="top" wrapText="1"/>
    </xf>
    <xf numFmtId="0" fontId="18" fillId="0" borderId="0"/>
    <xf numFmtId="0" fontId="5" fillId="0" borderId="0"/>
    <xf numFmtId="0" fontId="4" fillId="0" borderId="0"/>
    <xf numFmtId="0" fontId="23" fillId="0" borderId="0"/>
    <xf numFmtId="0" fontId="5" fillId="0" borderId="0"/>
    <xf numFmtId="0" fontId="23" fillId="0" borderId="0"/>
    <xf numFmtId="0" fontId="3" fillId="0" borderId="0"/>
    <xf numFmtId="0" fontId="6" fillId="0" borderId="0"/>
    <xf numFmtId="0" fontId="2" fillId="0" borderId="0"/>
    <xf numFmtId="0" fontId="2" fillId="0" borderId="0"/>
    <xf numFmtId="0" fontId="1" fillId="0" borderId="0"/>
  </cellStyleXfs>
  <cellXfs count="286">
    <xf numFmtId="0" fontId="0" fillId="0" borderId="0" xfId="0"/>
    <xf numFmtId="0" fontId="12" fillId="0" borderId="0" xfId="0" applyFont="1" applyFill="1" applyAlignment="1">
      <alignment vertical="center"/>
    </xf>
    <xf numFmtId="0" fontId="12" fillId="0" borderId="0" xfId="0" applyFont="1" applyFill="1"/>
    <xf numFmtId="165" fontId="12" fillId="0" borderId="0" xfId="16" applyNumberFormat="1" applyFont="1" applyFill="1" applyAlignment="1">
      <alignment vertical="center"/>
    </xf>
    <xf numFmtId="0" fontId="12" fillId="0" borderId="0" xfId="0" applyFont="1" applyFill="1" applyAlignment="1">
      <alignment horizontal="left" vertical="center"/>
    </xf>
    <xf numFmtId="165" fontId="12" fillId="0" borderId="0" xfId="16" applyNumberFormat="1" applyFont="1" applyFill="1" applyAlignment="1">
      <alignment horizontal="left" vertical="center"/>
    </xf>
    <xf numFmtId="165" fontId="12" fillId="0" borderId="0" xfId="17" applyNumberFormat="1" applyFont="1" applyFill="1" applyAlignment="1" applyProtection="1">
      <alignment vertical="center"/>
      <protection locked="0"/>
    </xf>
    <xf numFmtId="165" fontId="12" fillId="0" borderId="0" xfId="17" applyNumberFormat="1" applyFont="1" applyFill="1" applyAlignment="1">
      <alignment horizontal="left" vertical="center"/>
    </xf>
    <xf numFmtId="165" fontId="14" fillId="0" borderId="0" xfId="17" applyNumberFormat="1" applyFont="1" applyFill="1" applyAlignment="1">
      <alignment horizontal="right" vertical="center"/>
    </xf>
    <xf numFmtId="165" fontId="15" fillId="0" borderId="3" xfId="4" applyNumberFormat="1" applyFont="1" applyFill="1" applyBorder="1" applyAlignment="1">
      <alignment horizontal="center" vertical="top"/>
    </xf>
    <xf numFmtId="165" fontId="12" fillId="0" borderId="3" xfId="5" applyNumberFormat="1" applyFont="1" applyFill="1" applyBorder="1" applyAlignment="1">
      <alignment horizontal="center" vertical="top" wrapText="1"/>
    </xf>
    <xf numFmtId="0" fontId="12" fillId="0" borderId="3" xfId="8" applyNumberFormat="1" applyFont="1" applyFill="1" applyBorder="1" applyAlignment="1">
      <alignment horizontal="center" vertical="top" wrapText="1"/>
    </xf>
    <xf numFmtId="0" fontId="12" fillId="0" borderId="0" xfId="0" applyFont="1" applyFill="1" applyAlignment="1">
      <alignment vertical="top"/>
    </xf>
    <xf numFmtId="165" fontId="12" fillId="0" borderId="3" xfId="27" applyNumberFormat="1" applyFont="1" applyFill="1" applyBorder="1" applyAlignment="1">
      <alignment horizontal="center" vertical="center" wrapText="1"/>
    </xf>
    <xf numFmtId="0" fontId="12" fillId="0" borderId="0" xfId="0" applyFont="1" applyFill="1" applyAlignment="1">
      <alignment horizontal="center" vertical="center"/>
    </xf>
    <xf numFmtId="165" fontId="12" fillId="0" borderId="3" xfId="33" applyNumberFormat="1" applyFont="1" applyFill="1" applyBorder="1" applyAlignment="1">
      <alignment horizontal="justify" vertical="center" wrapText="1"/>
    </xf>
    <xf numFmtId="4" fontId="12" fillId="0" borderId="3" xfId="2" applyNumberFormat="1" applyFont="1" applyFill="1" applyBorder="1" applyAlignment="1">
      <alignment horizontal="right" vertical="center"/>
    </xf>
    <xf numFmtId="165" fontId="16" fillId="0" borderId="3" xfId="27" applyNumberFormat="1" applyFont="1" applyFill="1" applyBorder="1" applyAlignment="1">
      <alignment horizontal="center" vertical="center" wrapText="1"/>
    </xf>
    <xf numFmtId="165" fontId="16" fillId="0" borderId="3" xfId="33" applyNumberFormat="1" applyFont="1" applyFill="1" applyBorder="1" applyAlignment="1">
      <alignment horizontal="left" vertical="center" wrapText="1"/>
    </xf>
    <xf numFmtId="4" fontId="16" fillId="0" borderId="3" xfId="2"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justify" vertical="center" wrapText="1"/>
    </xf>
    <xf numFmtId="0" fontId="15" fillId="0" borderId="0" xfId="38" applyNumberFormat="1" applyFont="1" applyFill="1" applyBorder="1" applyAlignment="1" applyProtection="1">
      <alignment horizontal="left" vertical="center" wrapText="1"/>
    </xf>
    <xf numFmtId="0" fontId="15" fillId="0" borderId="0" xfId="38" applyNumberFormat="1" applyFont="1" applyFill="1" applyBorder="1" applyAlignment="1" applyProtection="1">
      <alignment horizontal="center" vertical="center" wrapText="1"/>
    </xf>
    <xf numFmtId="0" fontId="20" fillId="0" borderId="0" xfId="38" applyFont="1"/>
    <xf numFmtId="0" fontId="15" fillId="0" borderId="0" xfId="38" applyNumberFormat="1" applyFont="1" applyFill="1" applyBorder="1" applyAlignment="1" applyProtection="1">
      <alignment horizontal="right" vertical="center" wrapText="1"/>
    </xf>
    <xf numFmtId="0" fontId="22" fillId="0" borderId="0" xfId="38" applyNumberFormat="1" applyFont="1" applyFill="1" applyBorder="1" applyAlignment="1" applyProtection="1">
      <alignment horizontal="left" vertical="center" wrapText="1"/>
    </xf>
    <xf numFmtId="0" fontId="22" fillId="0" borderId="0" xfId="38" applyNumberFormat="1" applyFont="1" applyFill="1" applyBorder="1" applyAlignment="1" applyProtection="1">
      <alignment horizontal="center" vertical="center" wrapText="1"/>
    </xf>
    <xf numFmtId="0" fontId="22" fillId="0" borderId="0" xfId="38" applyNumberFormat="1" applyFont="1" applyFill="1" applyBorder="1" applyAlignment="1" applyProtection="1">
      <alignment horizontal="right" vertical="center" wrapText="1"/>
    </xf>
    <xf numFmtId="0" fontId="15" fillId="0" borderId="10" xfId="38" applyNumberFormat="1" applyFont="1" applyFill="1" applyBorder="1" applyAlignment="1" applyProtection="1">
      <alignment horizontal="center" vertical="top" wrapText="1"/>
    </xf>
    <xf numFmtId="0" fontId="20" fillId="0" borderId="0" xfId="38" applyFont="1" applyAlignment="1">
      <alignment horizontal="left" vertical="center"/>
    </xf>
    <xf numFmtId="0" fontId="20" fillId="0" borderId="0" xfId="38" applyFont="1" applyAlignment="1">
      <alignment horizontal="center" vertical="center"/>
    </xf>
    <xf numFmtId="0" fontId="20" fillId="0" borderId="0" xfId="38" applyFont="1" applyAlignment="1">
      <alignment horizontal="right" vertical="center"/>
    </xf>
    <xf numFmtId="0" fontId="19" fillId="0" borderId="0" xfId="38" applyNumberFormat="1" applyFont="1" applyFill="1" applyBorder="1" applyAlignment="1" applyProtection="1">
      <alignment horizontal="center" vertical="center" wrapText="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justify" wrapText="1"/>
      <protection hidden="1"/>
    </xf>
    <xf numFmtId="2" fontId="12" fillId="0" borderId="0" xfId="39" applyNumberFormat="1" applyFont="1" applyFill="1" applyBorder="1" applyAlignment="1" applyProtection="1">
      <alignment horizontal="left" vertical="center" wrapText="1"/>
      <protection hidden="1"/>
    </xf>
    <xf numFmtId="166" fontId="12" fillId="0" borderId="0" xfId="39" applyNumberFormat="1" applyFont="1" applyFill="1" applyBorder="1" applyAlignment="1" applyProtection="1">
      <alignment horizontal="center" vertical="center" wrapText="1"/>
      <protection hidden="1"/>
    </xf>
    <xf numFmtId="0" fontId="12" fillId="0" borderId="0" xfId="39" applyNumberFormat="1" applyFont="1" applyFill="1" applyBorder="1" applyAlignment="1" applyProtection="1">
      <alignment horizontal="right" vertical="center" wrapText="1"/>
      <protection hidden="1"/>
    </xf>
    <xf numFmtId="0" fontId="12" fillId="0" borderId="0" xfId="39" applyNumberFormat="1" applyFont="1" applyFill="1" applyBorder="1" applyAlignment="1" applyProtection="1">
      <alignment horizontal="center" vertical="center" wrapText="1"/>
      <protection hidden="1"/>
    </xf>
    <xf numFmtId="0" fontId="12" fillId="0" borderId="0" xfId="39" applyNumberFormat="1" applyFont="1" applyFill="1" applyBorder="1" applyAlignment="1" applyProtection="1">
      <alignment horizontal="left" vertical="center" wrapText="1"/>
      <protection hidden="1"/>
    </xf>
    <xf numFmtId="0" fontId="12" fillId="0" borderId="0" xfId="39" applyNumberFormat="1" applyFont="1" applyFill="1" applyBorder="1" applyAlignment="1" applyProtection="1">
      <alignment horizontal="left" vertical="center"/>
      <protection hidden="1"/>
    </xf>
    <xf numFmtId="1" fontId="12" fillId="0" borderId="0" xfId="40" applyNumberFormat="1" applyFont="1" applyFill="1" applyBorder="1" applyAlignment="1">
      <alignment horizontal="justify" wrapText="1"/>
    </xf>
    <xf numFmtId="1" fontId="12" fillId="0" borderId="0" xfId="36"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1" fontId="12" fillId="0" borderId="0" xfId="37" applyNumberFormat="1" applyFont="1" applyFill="1" applyBorder="1" applyAlignment="1">
      <alignment horizontal="justify" wrapText="1"/>
    </xf>
    <xf numFmtId="0" fontId="14" fillId="0" borderId="0" xfId="39" applyNumberFormat="1" applyFont="1" applyFill="1" applyBorder="1" applyAlignment="1" applyProtection="1">
      <alignment horizontal="justify" wrapText="1"/>
      <protection hidden="1"/>
    </xf>
    <xf numFmtId="0" fontId="12" fillId="0" borderId="0" xfId="39" applyNumberFormat="1" applyFont="1" applyFill="1" applyBorder="1" applyAlignment="1" applyProtection="1">
      <alignment horizontal="right" wrapText="1"/>
      <protection hidden="1"/>
    </xf>
    <xf numFmtId="0" fontId="12" fillId="0" borderId="0" xfId="39" applyNumberFormat="1" applyFont="1" applyFill="1" applyBorder="1" applyAlignment="1" applyProtection="1">
      <alignment horizontal="left" wrapText="1"/>
      <protection hidden="1"/>
    </xf>
    <xf numFmtId="1" fontId="12" fillId="0" borderId="0" xfId="36" applyNumberFormat="1" applyFont="1" applyFill="1" applyBorder="1" applyAlignment="1">
      <alignment horizontal="left" wrapText="1"/>
    </xf>
    <xf numFmtId="0" fontId="12" fillId="0" borderId="0" xfId="36" applyFont="1" applyFill="1" applyBorder="1" applyAlignment="1">
      <alignment horizontal="justify" wrapText="1"/>
    </xf>
    <xf numFmtId="49" fontId="12" fillId="0" borderId="0" xfId="39" applyNumberFormat="1" applyFont="1" applyFill="1" applyBorder="1" applyAlignment="1" applyProtection="1">
      <alignment horizontal="justify" wrapText="1"/>
      <protection hidden="1"/>
    </xf>
    <xf numFmtId="0" fontId="16" fillId="0" borderId="0" xfId="36" applyFont="1" applyFill="1" applyBorder="1" applyAlignment="1">
      <alignment horizontal="justify"/>
    </xf>
    <xf numFmtId="49" fontId="16" fillId="0" borderId="0" xfId="36" applyNumberFormat="1" applyFont="1" applyFill="1" applyBorder="1" applyAlignment="1">
      <alignment horizontal="center"/>
    </xf>
    <xf numFmtId="0" fontId="16" fillId="0" borderId="0" xfId="36" applyFont="1" applyFill="1" applyBorder="1" applyAlignment="1">
      <alignment horizontal="center"/>
    </xf>
    <xf numFmtId="0" fontId="16" fillId="0" borderId="0" xfId="36" applyFont="1" applyFill="1" applyBorder="1" applyAlignment="1"/>
    <xf numFmtId="0" fontId="19" fillId="0" borderId="0" xfId="38" applyNumberFormat="1" applyFont="1" applyFill="1" applyBorder="1" applyAlignment="1" applyProtection="1">
      <alignment horizontal="left" vertical="center" wrapText="1"/>
    </xf>
    <xf numFmtId="0" fontId="25" fillId="0" borderId="0" xfId="38" applyFont="1"/>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167" fontId="10" fillId="0" borderId="0" xfId="39" applyNumberFormat="1" applyFont="1" applyFill="1" applyBorder="1" applyAlignment="1" applyProtection="1">
      <alignment horizontal="center" vertical="center" wrapText="1"/>
      <protection hidden="1"/>
    </xf>
    <xf numFmtId="2" fontId="16" fillId="0" borderId="0" xfId="39" applyNumberFormat="1" applyFont="1" applyFill="1" applyBorder="1" applyAlignment="1" applyProtection="1">
      <alignment horizontal="left" vertical="center" wrapText="1"/>
      <protection hidden="1"/>
    </xf>
    <xf numFmtId="167" fontId="16" fillId="0" borderId="0" xfId="39" applyNumberFormat="1" applyFont="1" applyFill="1" applyBorder="1" applyAlignment="1" applyProtection="1">
      <alignment horizontal="center" vertical="center" wrapText="1"/>
      <protection hidden="1"/>
    </xf>
    <xf numFmtId="166" fontId="16" fillId="0" borderId="0" xfId="39" applyNumberFormat="1" applyFont="1" applyFill="1" applyBorder="1" applyAlignment="1" applyProtection="1">
      <alignment horizontal="center" vertical="center" wrapText="1"/>
      <protection hidden="1"/>
    </xf>
    <xf numFmtId="0" fontId="16" fillId="0" borderId="0" xfId="39" applyNumberFormat="1" applyFont="1" applyFill="1" applyBorder="1" applyAlignment="1" applyProtection="1">
      <alignment horizontal="right" vertical="center" wrapText="1"/>
      <protection hidden="1"/>
    </xf>
    <xf numFmtId="0" fontId="16" fillId="0" borderId="0" xfId="39" applyNumberFormat="1" applyFont="1" applyFill="1" applyBorder="1" applyAlignment="1" applyProtection="1">
      <alignment horizontal="center" vertical="center" wrapText="1"/>
      <protection hidden="1"/>
    </xf>
    <xf numFmtId="0" fontId="16" fillId="0" borderId="0" xfId="39" applyNumberFormat="1" applyFont="1" applyFill="1" applyBorder="1" applyAlignment="1" applyProtection="1">
      <alignment horizontal="left" vertical="center" wrapText="1"/>
      <protection hidden="1"/>
    </xf>
    <xf numFmtId="0" fontId="16" fillId="0" borderId="0" xfId="39" applyNumberFormat="1" applyFont="1" applyFill="1" applyBorder="1" applyAlignment="1" applyProtection="1">
      <alignment horizontal="left" vertical="center"/>
      <protection hidden="1"/>
    </xf>
    <xf numFmtId="167" fontId="12" fillId="0" borderId="0" xfId="39" applyNumberFormat="1" applyFont="1" applyFill="1" applyBorder="1" applyAlignment="1" applyProtection="1">
      <alignment horizontal="center" vertical="center" wrapText="1"/>
      <protection hidden="1"/>
    </xf>
    <xf numFmtId="167" fontId="12" fillId="0" borderId="0" xfId="39" applyNumberFormat="1" applyFont="1" applyFill="1" applyBorder="1" applyAlignment="1" applyProtection="1">
      <alignment horizontal="center" wrapText="1"/>
      <protection hidden="1"/>
    </xf>
    <xf numFmtId="2" fontId="10" fillId="0" borderId="11" xfId="39" applyNumberFormat="1" applyFont="1" applyFill="1" applyBorder="1" applyAlignment="1" applyProtection="1">
      <alignment horizontal="justify" vertical="center" wrapText="1"/>
      <protection hidden="1"/>
    </xf>
    <xf numFmtId="49" fontId="10" fillId="0" borderId="11" xfId="39" applyNumberFormat="1" applyFont="1" applyFill="1" applyBorder="1" applyAlignment="1" applyProtection="1">
      <alignment horizontal="center" vertical="center" wrapText="1"/>
      <protection hidden="1"/>
    </xf>
    <xf numFmtId="0" fontId="10" fillId="0" borderId="11" xfId="39" applyNumberFormat="1" applyFont="1" applyFill="1" applyBorder="1" applyAlignment="1" applyProtection="1">
      <alignment horizontal="center" vertical="center" wrapText="1"/>
      <protection hidden="1"/>
    </xf>
    <xf numFmtId="167" fontId="10" fillId="0" borderId="11" xfId="39" applyNumberFormat="1" applyFont="1" applyFill="1" applyBorder="1" applyAlignment="1" applyProtection="1">
      <alignment horizontal="center" vertical="center" wrapText="1"/>
      <protection hidden="1"/>
    </xf>
    <xf numFmtId="166" fontId="10" fillId="0" borderId="11" xfId="39" applyNumberFormat="1" applyFont="1" applyFill="1" applyBorder="1" applyAlignment="1" applyProtection="1">
      <alignment horizontal="center" vertical="center" wrapText="1"/>
      <protection hidden="1"/>
    </xf>
    <xf numFmtId="4" fontId="10" fillId="0" borderId="11" xfId="39" applyNumberFormat="1" applyFont="1" applyFill="1" applyBorder="1" applyAlignment="1" applyProtection="1">
      <alignment vertical="center" wrapText="1"/>
      <protection hidden="1"/>
    </xf>
    <xf numFmtId="2" fontId="10" fillId="0" borderId="0" xfId="39" applyNumberFormat="1" applyFont="1" applyFill="1" applyBorder="1" applyAlignment="1" applyProtection="1">
      <alignment horizontal="justify" vertical="center" wrapText="1"/>
      <protection hidden="1"/>
    </xf>
    <xf numFmtId="49" fontId="10" fillId="0" borderId="0" xfId="39" applyNumberFormat="1" applyFont="1" applyFill="1" applyBorder="1" applyAlignment="1" applyProtection="1">
      <alignment horizontal="center" vertical="center" wrapText="1"/>
      <protection hidden="1"/>
    </xf>
    <xf numFmtId="4" fontId="10" fillId="0" borderId="0" xfId="39" applyNumberFormat="1" applyFont="1" applyFill="1" applyBorder="1" applyAlignment="1" applyProtection="1">
      <alignment vertical="center" wrapText="1"/>
      <protection hidden="1"/>
    </xf>
    <xf numFmtId="0" fontId="17" fillId="11" borderId="0" xfId="0" applyFont="1" applyFill="1" applyAlignment="1">
      <alignment vertical="center"/>
    </xf>
    <xf numFmtId="0" fontId="0" fillId="11" borderId="0" xfId="0" applyFill="1" applyAlignment="1">
      <alignment vertical="center"/>
    </xf>
    <xf numFmtId="0" fontId="12" fillId="11" borderId="0" xfId="0" applyFont="1" applyFill="1" applyAlignment="1">
      <alignment vertical="center"/>
    </xf>
    <xf numFmtId="0" fontId="14" fillId="11" borderId="0" xfId="0" applyFont="1" applyFill="1" applyAlignment="1">
      <alignment horizontal="right"/>
    </xf>
    <xf numFmtId="0" fontId="12" fillId="11" borderId="3" xfId="0" applyFont="1" applyFill="1" applyBorder="1" applyAlignment="1" applyProtection="1">
      <alignment horizontal="center" vertical="top" wrapText="1"/>
      <protection locked="0"/>
    </xf>
    <xf numFmtId="0" fontId="14" fillId="11" borderId="3" xfId="0" applyFont="1" applyFill="1" applyBorder="1" applyAlignment="1">
      <alignment horizontal="center" vertical="center"/>
    </xf>
    <xf numFmtId="0" fontId="12" fillId="11" borderId="3" xfId="0" applyFont="1" applyFill="1" applyBorder="1" applyAlignment="1" applyProtection="1">
      <alignment vertical="center" wrapText="1"/>
      <protection locked="0"/>
    </xf>
    <xf numFmtId="4" fontId="12" fillId="11" borderId="3" xfId="0" applyNumberFormat="1" applyFont="1" applyFill="1" applyBorder="1" applyAlignment="1">
      <alignment vertical="center"/>
    </xf>
    <xf numFmtId="0" fontId="14" fillId="11" borderId="3" xfId="0" applyFont="1" applyFill="1" applyBorder="1" applyAlignment="1" applyProtection="1">
      <alignment horizontal="center" vertical="center" wrapText="1"/>
      <protection locked="0"/>
    </xf>
    <xf numFmtId="4" fontId="12" fillId="11" borderId="3" xfId="0" applyNumberFormat="1" applyFont="1" applyFill="1" applyBorder="1" applyAlignment="1" applyProtection="1">
      <alignment horizontal="right" vertical="center" wrapText="1"/>
      <protection locked="0"/>
    </xf>
    <xf numFmtId="0" fontId="15"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4" fontId="12" fillId="0" borderId="0" xfId="39" applyNumberFormat="1" applyFont="1" applyFill="1" applyBorder="1" applyAlignment="1" applyProtection="1">
      <alignment vertical="center" wrapText="1"/>
      <protection hidden="1"/>
    </xf>
    <xf numFmtId="4" fontId="12" fillId="0" borderId="0" xfId="36" applyNumberFormat="1" applyFont="1" applyFill="1" applyBorder="1" applyAlignment="1"/>
    <xf numFmtId="4" fontId="12" fillId="0" borderId="0" xfId="36" applyNumberFormat="1" applyFont="1" applyFill="1" applyBorder="1" applyAlignment="1">
      <alignment horizontal="right" wrapText="1"/>
    </xf>
    <xf numFmtId="4" fontId="16" fillId="0" borderId="0" xfId="36" applyNumberFormat="1" applyFont="1" applyFill="1" applyBorder="1" applyAlignment="1"/>
    <xf numFmtId="4" fontId="16" fillId="0" borderId="0" xfId="39" applyNumberFormat="1" applyFont="1" applyFill="1" applyBorder="1" applyAlignment="1" applyProtection="1">
      <alignment vertical="center" wrapText="1"/>
      <protection hidden="1"/>
    </xf>
    <xf numFmtId="4" fontId="20" fillId="0" borderId="0" xfId="38" applyNumberFormat="1" applyFont="1" applyAlignment="1">
      <alignment horizontal="right"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4" fontId="20" fillId="0" borderId="0" xfId="38" applyNumberFormat="1" applyFont="1"/>
    <xf numFmtId="0" fontId="15" fillId="0" borderId="10" xfId="42" applyNumberFormat="1" applyFont="1" applyFill="1" applyBorder="1" applyAlignment="1" applyProtection="1">
      <alignment horizontal="center" vertical="top" wrapText="1"/>
    </xf>
    <xf numFmtId="0" fontId="20" fillId="0" borderId="0" xfId="42" applyFont="1" applyAlignment="1">
      <alignment horizontal="left" vertical="center"/>
    </xf>
    <xf numFmtId="0" fontId="20" fillId="0" borderId="0" xfId="42" applyFont="1" applyAlignment="1">
      <alignment horizontal="center" vertical="center"/>
    </xf>
    <xf numFmtId="4" fontId="20" fillId="0" borderId="0" xfId="42" applyNumberFormat="1" applyFont="1" applyAlignment="1">
      <alignment horizontal="right" vertical="center"/>
    </xf>
    <xf numFmtId="0" fontId="20" fillId="0" borderId="0" xfId="42" applyFont="1" applyAlignment="1">
      <alignment horizontal="right" vertical="center"/>
    </xf>
    <xf numFmtId="0" fontId="27"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center" vertical="center" wrapText="1"/>
    </xf>
    <xf numFmtId="4" fontId="27" fillId="0" borderId="0" xfId="0" applyNumberFormat="1" applyFont="1" applyFill="1" applyBorder="1" applyAlignment="1" applyProtection="1">
      <alignment horizontal="right" vertic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165" fontId="12" fillId="0" borderId="3" xfId="35" applyNumberFormat="1" applyFont="1" applyFill="1" applyBorder="1" applyAlignment="1">
      <alignment horizontal="justify" vertic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center"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right" vertical="center"/>
    </xf>
    <xf numFmtId="0" fontId="12" fillId="0" borderId="3" xfId="36" applyFont="1" applyBorder="1"/>
    <xf numFmtId="0" fontId="16" fillId="0" borderId="3" xfId="36" applyFont="1" applyBorder="1" applyAlignment="1">
      <alignment horizontal="center" vertical="center" wrapText="1"/>
    </xf>
    <xf numFmtId="165" fontId="16" fillId="0" borderId="3" xfId="36" applyNumberFormat="1" applyFont="1" applyBorder="1" applyAlignment="1">
      <alignment horizontal="center" wrapText="1"/>
    </xf>
    <xf numFmtId="0" fontId="12" fillId="0" borderId="3" xfId="36" applyFont="1" applyBorder="1" applyAlignment="1">
      <alignment horizontal="center"/>
    </xf>
    <xf numFmtId="0" fontId="12" fillId="0" borderId="3" xfId="36" applyFont="1" applyBorder="1" applyAlignment="1">
      <alignment horizontal="justify" wrapText="1"/>
    </xf>
    <xf numFmtId="4" fontId="12" fillId="0" borderId="3" xfId="36" applyNumberFormat="1" applyFont="1" applyBorder="1" applyAlignment="1">
      <alignment horizontal="center"/>
    </xf>
    <xf numFmtId="0" fontId="16" fillId="0" borderId="3" xfId="37" applyFont="1" applyFill="1" applyBorder="1" applyAlignment="1">
      <alignment horizontal="left" wrapText="1"/>
    </xf>
    <xf numFmtId="4" fontId="16" fillId="0" borderId="3" xfId="36" applyNumberFormat="1" applyFont="1" applyBorder="1" applyAlignment="1">
      <alignment horizontal="center"/>
    </xf>
    <xf numFmtId="0" fontId="17" fillId="0" borderId="0" xfId="36" applyFont="1"/>
    <xf numFmtId="165" fontId="17" fillId="0" borderId="0" xfId="36" applyNumberFormat="1" applyFont="1"/>
    <xf numFmtId="0" fontId="17" fillId="0" borderId="0" xfId="0" applyFont="1" applyFill="1" applyAlignment="1">
      <alignment horizontal="justify"/>
    </xf>
    <xf numFmtId="0" fontId="17" fillId="0" borderId="0" xfId="0" applyFont="1" applyAlignment="1">
      <alignment horizontal="justify" wrapText="1"/>
    </xf>
    <xf numFmtId="0" fontId="17" fillId="0" borderId="0" xfId="0" applyFont="1" applyAlignment="1">
      <alignment horizontal="justify"/>
    </xf>
    <xf numFmtId="0" fontId="12" fillId="0" borderId="0" xfId="0" applyFont="1" applyFill="1" applyAlignment="1" applyProtection="1">
      <alignment horizontal="right"/>
      <protection hidden="1"/>
    </xf>
    <xf numFmtId="0" fontId="13" fillId="0" borderId="0" xfId="36" applyFont="1" applyAlignment="1">
      <alignment horizontal="center" vertical="center" wrapText="1"/>
    </xf>
    <xf numFmtId="165" fontId="12" fillId="0" borderId="0" xfId="36" applyNumberFormat="1" applyFont="1" applyAlignment="1">
      <alignment horizontal="right"/>
    </xf>
    <xf numFmtId="0" fontId="15" fillId="0" borderId="0" xfId="44" applyNumberFormat="1" applyFont="1" applyFill="1" applyBorder="1" applyAlignment="1" applyProtection="1">
      <alignment horizontal="left" vertical="center" wrapText="1"/>
    </xf>
    <xf numFmtId="0" fontId="15" fillId="0" borderId="0" xfId="44" applyNumberFormat="1" applyFont="1" applyFill="1" applyBorder="1" applyAlignment="1" applyProtection="1">
      <alignment horizontal="center" vertical="center" wrapText="1"/>
    </xf>
    <xf numFmtId="0" fontId="20" fillId="0" borderId="0" xfId="44" applyFont="1"/>
    <xf numFmtId="0" fontId="15" fillId="0" borderId="0" xfId="44" applyNumberFormat="1" applyFont="1" applyFill="1" applyBorder="1" applyAlignment="1" applyProtection="1">
      <alignment horizontal="right" vertical="center" wrapText="1"/>
    </xf>
    <xf numFmtId="0" fontId="22" fillId="0" borderId="0" xfId="44" applyNumberFormat="1" applyFont="1" applyFill="1" applyBorder="1" applyAlignment="1" applyProtection="1">
      <alignment horizontal="left" vertical="center" wrapText="1"/>
    </xf>
    <xf numFmtId="0" fontId="22" fillId="0" borderId="0" xfId="44" applyNumberFormat="1" applyFont="1" applyFill="1" applyBorder="1" applyAlignment="1" applyProtection="1">
      <alignment horizontal="center" vertical="center" wrapText="1"/>
    </xf>
    <xf numFmtId="0" fontId="22" fillId="0" borderId="0" xfId="44" applyNumberFormat="1" applyFont="1" applyFill="1" applyBorder="1" applyAlignment="1" applyProtection="1">
      <alignment horizontal="right" vertical="center" wrapText="1"/>
    </xf>
    <xf numFmtId="0" fontId="15" fillId="0" borderId="10" xfId="44" applyNumberFormat="1" applyFont="1" applyFill="1" applyBorder="1" applyAlignment="1" applyProtection="1">
      <alignment horizontal="center" vertical="top" wrapText="1"/>
    </xf>
    <xf numFmtId="2" fontId="10" fillId="0" borderId="0" xfId="39" applyNumberFormat="1" applyFont="1" applyFill="1" applyBorder="1" applyAlignment="1" applyProtection="1">
      <alignment horizontal="left" vertical="center" wrapText="1"/>
      <protection hidden="1"/>
    </xf>
    <xf numFmtId="166" fontId="28" fillId="0" borderId="0" xfId="39" applyNumberFormat="1" applyFont="1" applyFill="1" applyBorder="1" applyAlignment="1" applyProtection="1">
      <alignment horizontal="center" vertical="center" wrapText="1"/>
      <protection hidden="1"/>
    </xf>
    <xf numFmtId="0" fontId="28" fillId="0" borderId="0" xfId="39" applyNumberFormat="1" applyFont="1" applyFill="1" applyBorder="1" applyAlignment="1" applyProtection="1">
      <alignment horizontal="right" vertical="center" wrapText="1"/>
      <protection hidden="1"/>
    </xf>
    <xf numFmtId="0" fontId="28" fillId="0" borderId="0" xfId="39" applyNumberFormat="1" applyFont="1" applyFill="1" applyBorder="1" applyAlignment="1" applyProtection="1">
      <alignment horizontal="center" vertical="center" wrapText="1"/>
      <protection hidden="1"/>
    </xf>
    <xf numFmtId="0" fontId="28" fillId="0" borderId="0" xfId="39" applyNumberFormat="1" applyFont="1" applyFill="1" applyBorder="1" applyAlignment="1" applyProtection="1">
      <alignment horizontal="left" vertical="center" wrapText="1"/>
      <protection hidden="1"/>
    </xf>
    <xf numFmtId="0" fontId="28"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 fontId="10" fillId="0" borderId="0" xfId="36" applyNumberFormat="1" applyFont="1" applyFill="1" applyBorder="1" applyAlignment="1"/>
    <xf numFmtId="1" fontId="10" fillId="0" borderId="0" xfId="36" applyNumberFormat="1" applyFont="1" applyFill="1" applyBorder="1" applyAlignment="1">
      <alignment horizontal="justify" wrapText="1"/>
    </xf>
    <xf numFmtId="4" fontId="10" fillId="0" borderId="0" xfId="36" applyNumberFormat="1" applyFont="1" applyFill="1" applyBorder="1" applyAlignment="1">
      <alignment horizontal="right" wrapText="1"/>
    </xf>
    <xf numFmtId="1" fontId="10" fillId="0" borderId="0" xfId="37" applyNumberFormat="1" applyFont="1" applyFill="1" applyBorder="1" applyAlignment="1">
      <alignment horizontal="justify" wrapText="1"/>
    </xf>
    <xf numFmtId="0" fontId="10" fillId="0" borderId="0" xfId="39" applyNumberFormat="1" applyFont="1" applyFill="1" applyBorder="1" applyAlignment="1" applyProtection="1">
      <alignment horizontal="righ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left" wrapText="1"/>
      <protection hidden="1"/>
    </xf>
    <xf numFmtId="0" fontId="28" fillId="0" borderId="0" xfId="36" applyFont="1" applyFill="1" applyBorder="1" applyAlignment="1">
      <alignment horizontal="justify"/>
    </xf>
    <xf numFmtId="49" fontId="28" fillId="0" borderId="0" xfId="36" applyNumberFormat="1" applyFont="1" applyFill="1" applyBorder="1" applyAlignment="1">
      <alignment horizontal="center"/>
    </xf>
    <xf numFmtId="0" fontId="28" fillId="0" borderId="0" xfId="36" applyFont="1" applyFill="1" applyBorder="1" applyAlignment="1">
      <alignment horizontal="center"/>
    </xf>
    <xf numFmtId="0" fontId="28" fillId="0" borderId="0" xfId="36" applyFont="1" applyFill="1" applyBorder="1" applyAlignment="1"/>
    <xf numFmtId="4" fontId="28" fillId="0" borderId="0" xfId="36" applyNumberFormat="1" applyFont="1" applyFill="1" applyBorder="1" applyAlignment="1"/>
    <xf numFmtId="0" fontId="20" fillId="0" borderId="0" xfId="44" applyFont="1" applyAlignment="1">
      <alignment horizontal="left" vertical="center"/>
    </xf>
    <xf numFmtId="0" fontId="20" fillId="0" borderId="0" xfId="44" applyFont="1" applyAlignment="1">
      <alignment horizontal="center" vertical="center"/>
    </xf>
    <xf numFmtId="4" fontId="20" fillId="0" borderId="0" xfId="44" applyNumberFormat="1" applyFont="1" applyAlignment="1">
      <alignment horizontal="right" vertical="center"/>
    </xf>
    <xf numFmtId="0" fontId="20" fillId="0" borderId="0" xfId="44" applyFont="1" applyAlignment="1">
      <alignment horizontal="right" vertical="center"/>
    </xf>
    <xf numFmtId="0" fontId="19" fillId="0" borderId="0" xfId="44" applyNumberFormat="1" applyFont="1" applyFill="1" applyBorder="1" applyAlignment="1" applyProtection="1">
      <alignment vertical="top" wrapText="1"/>
    </xf>
    <xf numFmtId="0" fontId="25" fillId="0" borderId="0" xfId="44" applyFont="1"/>
    <xf numFmtId="0" fontId="15" fillId="0" borderId="10" xfId="45" applyNumberFormat="1" applyFont="1" applyFill="1" applyBorder="1" applyAlignment="1" applyProtection="1">
      <alignment horizontal="center" vertical="top" wrapText="1"/>
    </xf>
    <xf numFmtId="4" fontId="14" fillId="0" borderId="0" xfId="36" applyNumberFormat="1" applyFont="1"/>
    <xf numFmtId="0" fontId="12" fillId="0" borderId="0" xfId="36" applyFont="1" applyFill="1" applyBorder="1" applyAlignment="1">
      <alignment horizontal="justify"/>
    </xf>
    <xf numFmtId="0" fontId="12" fillId="0" borderId="0" xfId="36" applyFont="1" applyFill="1" applyBorder="1" applyAlignment="1">
      <alignment horizontal="center"/>
    </xf>
    <xf numFmtId="49" fontId="12" fillId="0" borderId="0" xfId="36" applyNumberFormat="1" applyFont="1" applyFill="1" applyBorder="1" applyAlignment="1">
      <alignment horizontal="center"/>
    </xf>
    <xf numFmtId="0" fontId="12" fillId="0" borderId="0" xfId="36" applyFont="1" applyFill="1" applyBorder="1" applyAlignment="1"/>
    <xf numFmtId="0" fontId="20" fillId="0" borderId="0" xfId="45" applyFont="1" applyAlignment="1">
      <alignment horizontal="left" vertical="center"/>
    </xf>
    <xf numFmtId="0" fontId="20" fillId="0" borderId="0" xfId="45" applyFont="1" applyAlignment="1">
      <alignment horizontal="center" vertical="center"/>
    </xf>
    <xf numFmtId="4" fontId="20" fillId="0" borderId="0" xfId="45" applyNumberFormat="1" applyFont="1" applyAlignment="1">
      <alignment horizontal="right" vertical="center"/>
    </xf>
    <xf numFmtId="0" fontId="20" fillId="0" borderId="0" xfId="45" applyFont="1" applyAlignment="1">
      <alignment horizontal="right" vertical="center"/>
    </xf>
    <xf numFmtId="0" fontId="21" fillId="0" borderId="0" xfId="44" applyNumberFormat="1" applyFont="1" applyFill="1" applyBorder="1" applyAlignment="1" applyProtection="1">
      <alignment horizontal="center" vertical="center" wrapText="1"/>
    </xf>
    <xf numFmtId="0" fontId="15" fillId="0" borderId="6" xfId="44" applyNumberFormat="1" applyFont="1" applyFill="1" applyBorder="1" applyAlignment="1" applyProtection="1">
      <alignment horizontal="center" vertical="top" wrapText="1"/>
    </xf>
    <xf numFmtId="168" fontId="10" fillId="0" borderId="0" xfId="39" applyNumberFormat="1" applyFont="1" applyFill="1" applyBorder="1" applyAlignment="1" applyProtection="1">
      <alignment horizontal="justify" vertical="center" wrapText="1"/>
      <protection hidden="1"/>
    </xf>
    <xf numFmtId="168" fontId="10" fillId="0" borderId="0" xfId="39" applyNumberFormat="1" applyFont="1" applyFill="1" applyBorder="1" applyAlignment="1" applyProtection="1">
      <alignment horizontal="center" vertical="center" wrapText="1"/>
      <protection hidden="1"/>
    </xf>
    <xf numFmtId="168" fontId="20" fillId="0" borderId="0" xfId="44" applyNumberFormat="1" applyFont="1"/>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center"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165" fontId="12" fillId="0" borderId="0" xfId="17" applyNumberFormat="1" applyFont="1" applyFill="1" applyAlignment="1" applyProtection="1">
      <alignment horizontal="left" vertical="center"/>
      <protection locked="0"/>
    </xf>
    <xf numFmtId="165" fontId="12" fillId="0" borderId="3" xfId="4" applyNumberFormat="1" applyFont="1" applyFill="1" applyBorder="1" applyAlignment="1">
      <alignment horizontal="center" vertical="top"/>
    </xf>
    <xf numFmtId="165" fontId="12" fillId="0" borderId="3" xfId="0" applyNumberFormat="1" applyFont="1" applyFill="1" applyBorder="1" applyAlignment="1">
      <alignment horizontal="center" vertical="top" wrapText="1"/>
    </xf>
    <xf numFmtId="165" fontId="16" fillId="0" borderId="3" xfId="35" applyNumberFormat="1" applyFont="1" applyFill="1" applyBorder="1" applyAlignment="1">
      <alignment horizontal="left" vertical="center" wrapText="1"/>
    </xf>
    <xf numFmtId="0" fontId="20" fillId="0" borderId="0" xfId="46" applyFont="1" applyAlignment="1">
      <alignment horizontal="left" vertical="center"/>
    </xf>
    <xf numFmtId="0" fontId="20" fillId="0" borderId="0" xfId="46" applyFont="1"/>
    <xf numFmtId="0" fontId="15" fillId="0" borderId="0" xfId="46" applyNumberFormat="1" applyFont="1" applyFill="1" applyBorder="1" applyAlignment="1" applyProtection="1">
      <alignment vertical="center"/>
    </xf>
    <xf numFmtId="0" fontId="19" fillId="0" borderId="0" xfId="46" applyNumberFormat="1" applyFont="1" applyFill="1" applyBorder="1" applyAlignment="1" applyProtection="1">
      <alignment vertical="center"/>
    </xf>
    <xf numFmtId="49" fontId="19" fillId="0" borderId="0" xfId="46" applyNumberFormat="1" applyFont="1" applyFill="1" applyBorder="1" applyAlignment="1" applyProtection="1">
      <alignment vertical="center"/>
    </xf>
    <xf numFmtId="0" fontId="15" fillId="0" borderId="0" xfId="46" applyNumberFormat="1" applyFont="1" applyFill="1" applyBorder="1" applyAlignment="1" applyProtection="1">
      <alignment horizontal="left" vertical="center" wrapText="1"/>
    </xf>
    <xf numFmtId="0" fontId="15" fillId="0" borderId="0" xfId="46" applyNumberFormat="1" applyFont="1" applyFill="1" applyBorder="1" applyAlignment="1" applyProtection="1">
      <alignment horizontal="right" vertical="center" wrapText="1"/>
    </xf>
    <xf numFmtId="0" fontId="22" fillId="0" borderId="0" xfId="46" applyNumberFormat="1" applyFont="1" applyFill="1" applyBorder="1" applyAlignment="1" applyProtection="1">
      <alignment horizontal="left" vertical="center" wrapText="1"/>
    </xf>
    <xf numFmtId="0" fontId="22" fillId="0" borderId="0" xfId="46" applyNumberFormat="1" applyFont="1" applyFill="1" applyBorder="1" applyAlignment="1" applyProtection="1">
      <alignment horizontal="right" vertical="center" wrapText="1"/>
    </xf>
    <xf numFmtId="0" fontId="15" fillId="0" borderId="0" xfId="46" applyNumberFormat="1" applyFont="1" applyFill="1" applyBorder="1" applyAlignment="1" applyProtection="1">
      <alignment horizontal="justify" vertical="top" wrapText="1"/>
    </xf>
    <xf numFmtId="4" fontId="12" fillId="0" borderId="0" xfId="46" applyNumberFormat="1" applyFont="1" applyBorder="1" applyAlignment="1">
      <alignment horizontal="right"/>
    </xf>
    <xf numFmtId="0" fontId="15" fillId="0" borderId="0" xfId="46" applyNumberFormat="1" applyFont="1" applyFill="1" applyBorder="1" applyAlignment="1" applyProtection="1">
      <alignment horizontal="center" vertical="top" wrapText="1"/>
    </xf>
    <xf numFmtId="0" fontId="12" fillId="0" borderId="0" xfId="46" applyFont="1" applyBorder="1" applyAlignment="1">
      <alignment horizontal="justify" wrapText="1"/>
    </xf>
    <xf numFmtId="0" fontId="12" fillId="0" borderId="0" xfId="46" applyFont="1" applyBorder="1" applyAlignment="1">
      <alignment horizontal="justify"/>
    </xf>
    <xf numFmtId="4" fontId="20" fillId="0" borderId="0" xfId="46" applyNumberFormat="1" applyFont="1" applyAlignment="1">
      <alignment horizontal="right" vertical="center"/>
    </xf>
    <xf numFmtId="0" fontId="20" fillId="0" borderId="0" xfId="46" applyFont="1" applyAlignment="1">
      <alignment horizontal="right" vertical="center"/>
    </xf>
    <xf numFmtId="0" fontId="17" fillId="0" borderId="0" xfId="0" applyFont="1" applyFill="1" applyAlignment="1">
      <alignment vertical="center"/>
    </xf>
    <xf numFmtId="0" fontId="14" fillId="0" borderId="0" xfId="0" applyFont="1" applyAlignment="1">
      <alignment horizontal="right"/>
    </xf>
    <xf numFmtId="0" fontId="12" fillId="0" borderId="3" xfId="0" applyFont="1" applyFill="1" applyBorder="1" applyAlignment="1" applyProtection="1">
      <alignment horizontal="center" vertical="top" wrapText="1"/>
      <protection locked="0"/>
    </xf>
    <xf numFmtId="165" fontId="13" fillId="0" borderId="0" xfId="0" applyNumberFormat="1" applyFont="1" applyFill="1" applyAlignment="1" applyProtection="1">
      <alignment horizontal="center" vertical="center" wrapText="1"/>
      <protection locked="0"/>
    </xf>
    <xf numFmtId="0" fontId="12" fillId="0" borderId="0" xfId="0" applyFont="1" applyFill="1" applyAlignment="1" applyProtection="1">
      <alignment horizontal="center"/>
      <protection hidden="1"/>
    </xf>
    <xf numFmtId="165" fontId="13" fillId="0" borderId="0" xfId="17" applyNumberFormat="1" applyFont="1" applyFill="1" applyAlignment="1" applyProtection="1">
      <alignment horizontal="center" vertical="center" wrapText="1"/>
      <protection locked="0"/>
    </xf>
    <xf numFmtId="0" fontId="12" fillId="0" borderId="0" xfId="0" applyFont="1" applyFill="1" applyAlignment="1">
      <alignment horizontal="center" vertical="center"/>
    </xf>
    <xf numFmtId="0" fontId="17" fillId="0" borderId="0" xfId="0" applyFont="1" applyAlignment="1">
      <alignment horizontal="justify" wrapText="1"/>
    </xf>
    <xf numFmtId="0" fontId="13" fillId="0" borderId="0" xfId="36" applyFont="1" applyAlignment="1">
      <alignment horizontal="center" vertical="center" wrapText="1"/>
    </xf>
    <xf numFmtId="0" fontId="17" fillId="11" borderId="0" xfId="0" applyFont="1" applyFill="1" applyAlignment="1">
      <alignment horizontal="justify" wrapText="1"/>
    </xf>
    <xf numFmtId="0" fontId="17" fillId="11" borderId="0" xfId="0" quotePrefix="1" applyFont="1" applyFill="1" applyAlignment="1">
      <alignment horizontal="justify"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5" fillId="0" borderId="5" xfId="42" applyNumberFormat="1" applyFont="1" applyFill="1" applyBorder="1" applyAlignment="1" applyProtection="1">
      <alignment horizontal="center" vertical="top" wrapText="1"/>
    </xf>
    <xf numFmtId="0" fontId="15" fillId="0" borderId="9" xfId="42" applyNumberFormat="1" applyFont="1" applyFill="1" applyBorder="1" applyAlignment="1" applyProtection="1">
      <alignment horizontal="center" vertical="top" wrapText="1"/>
    </xf>
    <xf numFmtId="0" fontId="15" fillId="0" borderId="6" xfId="42" applyNumberFormat="1" applyFont="1" applyFill="1" applyBorder="1" applyAlignment="1" applyProtection="1">
      <alignment horizontal="center" vertical="top" wrapText="1"/>
    </xf>
    <xf numFmtId="0" fontId="15" fillId="0" borderId="7" xfId="42" applyNumberFormat="1" applyFont="1" applyFill="1" applyBorder="1" applyAlignment="1" applyProtection="1">
      <alignment horizontal="center" vertical="top" wrapText="1"/>
    </xf>
    <xf numFmtId="0" fontId="15" fillId="0" borderId="8" xfId="42" applyNumberFormat="1" applyFont="1" applyFill="1" applyBorder="1" applyAlignment="1" applyProtection="1">
      <alignment horizontal="center" vertical="top" wrapText="1"/>
    </xf>
    <xf numFmtId="0" fontId="21" fillId="0" borderId="0" xfId="38" applyNumberFormat="1" applyFont="1" applyFill="1" applyBorder="1" applyAlignment="1" applyProtection="1">
      <alignment horizontal="center" vertical="center" wrapText="1"/>
    </xf>
    <xf numFmtId="0" fontId="15" fillId="0" borderId="4" xfId="38" applyNumberFormat="1" applyFont="1" applyFill="1" applyBorder="1" applyAlignment="1" applyProtection="1">
      <alignment horizontal="right" vertical="top" wrapText="1"/>
    </xf>
    <xf numFmtId="0" fontId="15" fillId="0" borderId="0" xfId="38" applyNumberFormat="1" applyFont="1" applyFill="1" applyBorder="1" applyAlignment="1" applyProtection="1">
      <alignment horizontal="center" vertical="center" wrapText="1"/>
    </xf>
    <xf numFmtId="0" fontId="26" fillId="0" borderId="0" xfId="38" applyNumberFormat="1" applyFont="1" applyFill="1" applyBorder="1" applyAlignment="1" applyProtection="1">
      <alignment horizontal="center" vertical="center" wrapText="1"/>
    </xf>
    <xf numFmtId="0" fontId="20" fillId="0" borderId="0" xfId="38" applyFont="1" applyAlignment="1">
      <alignment horizontal="center" vertical="center"/>
    </xf>
    <xf numFmtId="0" fontId="21" fillId="0" borderId="0" xfId="44" applyNumberFormat="1" applyFont="1" applyFill="1" applyBorder="1" applyAlignment="1" applyProtection="1">
      <alignment horizontal="center" vertical="center" wrapText="1"/>
    </xf>
    <xf numFmtId="0" fontId="24" fillId="0" borderId="0" xfId="44" applyNumberFormat="1" applyFont="1" applyFill="1" applyBorder="1" applyAlignment="1" applyProtection="1">
      <alignment horizontal="right" vertical="top" wrapText="1"/>
    </xf>
    <xf numFmtId="0" fontId="15" fillId="0" borderId="5" xfId="44" applyNumberFormat="1" applyFont="1" applyFill="1" applyBorder="1" applyAlignment="1" applyProtection="1">
      <alignment horizontal="center" vertical="top" wrapText="1"/>
    </xf>
    <xf numFmtId="0" fontId="15" fillId="0" borderId="9" xfId="44" applyNumberFormat="1" applyFont="1" applyFill="1" applyBorder="1" applyAlignment="1" applyProtection="1">
      <alignment horizontal="center" vertical="top" wrapText="1"/>
    </xf>
    <xf numFmtId="0" fontId="15" fillId="0" borderId="6" xfId="44" applyNumberFormat="1" applyFont="1" applyFill="1" applyBorder="1" applyAlignment="1" applyProtection="1">
      <alignment horizontal="center" vertical="top" wrapText="1"/>
    </xf>
    <xf numFmtId="0" fontId="15" fillId="0" borderId="7" xfId="44" applyNumberFormat="1" applyFont="1" applyFill="1" applyBorder="1" applyAlignment="1" applyProtection="1">
      <alignment horizontal="center" vertical="top" wrapText="1"/>
    </xf>
    <xf numFmtId="0" fontId="15" fillId="0" borderId="8" xfId="44" applyNumberFormat="1" applyFont="1" applyFill="1" applyBorder="1" applyAlignment="1" applyProtection="1">
      <alignment horizontal="center" vertical="top" wrapText="1"/>
    </xf>
    <xf numFmtId="49" fontId="15" fillId="0" borderId="0" xfId="44" applyNumberFormat="1" applyFont="1" applyFill="1" applyBorder="1" applyAlignment="1" applyProtection="1">
      <alignment horizontal="center" vertical="center" wrapText="1"/>
    </xf>
    <xf numFmtId="0" fontId="15" fillId="0" borderId="0" xfId="44" applyNumberFormat="1" applyFont="1" applyFill="1" applyBorder="1" applyAlignment="1" applyProtection="1">
      <alignment horizontal="center" vertical="center" wrapText="1"/>
    </xf>
    <xf numFmtId="0" fontId="15" fillId="0" borderId="6" xfId="38" applyNumberFormat="1" applyFont="1" applyFill="1" applyBorder="1" applyAlignment="1" applyProtection="1">
      <alignment horizontal="center" vertical="top" wrapText="1"/>
    </xf>
    <xf numFmtId="0" fontId="15" fillId="0" borderId="7" xfId="38" applyNumberFormat="1" applyFont="1" applyFill="1" applyBorder="1" applyAlignment="1" applyProtection="1">
      <alignment horizontal="center" vertical="top" wrapText="1"/>
    </xf>
    <xf numFmtId="0" fontId="15" fillId="0" borderId="8" xfId="38" applyNumberFormat="1" applyFont="1" applyFill="1" applyBorder="1" applyAlignment="1" applyProtection="1">
      <alignment horizontal="center" vertical="top" wrapText="1"/>
    </xf>
    <xf numFmtId="0" fontId="24" fillId="0" borderId="0" xfId="38" applyNumberFormat="1" applyFont="1" applyFill="1" applyBorder="1" applyAlignment="1" applyProtection="1">
      <alignment horizontal="right" vertical="top" wrapText="1"/>
    </xf>
    <xf numFmtId="0" fontId="15" fillId="0" borderId="6" xfId="45" applyNumberFormat="1" applyFont="1" applyFill="1" applyBorder="1" applyAlignment="1" applyProtection="1">
      <alignment horizontal="center" vertical="top" wrapText="1"/>
    </xf>
    <xf numFmtId="0" fontId="15" fillId="0" borderId="7" xfId="45" applyNumberFormat="1" applyFont="1" applyFill="1" applyBorder="1" applyAlignment="1" applyProtection="1">
      <alignment horizontal="center" vertical="top" wrapText="1"/>
    </xf>
    <xf numFmtId="0" fontId="15" fillId="0" borderId="8" xfId="45" applyNumberFormat="1" applyFont="1" applyFill="1" applyBorder="1" applyAlignment="1" applyProtection="1">
      <alignment horizontal="center" vertical="top" wrapText="1"/>
    </xf>
    <xf numFmtId="0" fontId="19" fillId="0" borderId="0" xfId="44" applyNumberFormat="1" applyFont="1" applyFill="1" applyBorder="1" applyAlignment="1" applyProtection="1">
      <alignment horizontal="center" vertical="center" wrapText="1"/>
    </xf>
    <xf numFmtId="0" fontId="19" fillId="0" borderId="0" xfId="44" applyNumberFormat="1" applyFont="1" applyFill="1" applyBorder="1" applyAlignment="1" applyProtection="1">
      <alignment horizontal="center" vertical="top" wrapText="1"/>
    </xf>
    <xf numFmtId="0" fontId="19" fillId="0" borderId="0" xfId="38" applyNumberFormat="1" applyFont="1" applyFill="1" applyBorder="1" applyAlignment="1" applyProtection="1">
      <alignment horizontal="center" vertical="center"/>
    </xf>
    <xf numFmtId="0" fontId="19" fillId="0" borderId="0" xfId="38" applyNumberFormat="1" applyFont="1" applyFill="1" applyBorder="1" applyAlignment="1" applyProtection="1">
      <alignment horizontal="center" vertical="center" wrapText="1"/>
    </xf>
    <xf numFmtId="0" fontId="15" fillId="0" borderId="0" xfId="38" applyNumberFormat="1" applyFont="1" applyFill="1" applyBorder="1" applyAlignment="1" applyProtection="1">
      <alignment horizontal="right" vertical="top" wrapText="1"/>
    </xf>
    <xf numFmtId="49" fontId="19" fillId="0" borderId="0" xfId="46" applyNumberFormat="1" applyFont="1" applyFill="1" applyBorder="1" applyAlignment="1" applyProtection="1">
      <alignment horizontal="center" vertical="center"/>
    </xf>
    <xf numFmtId="0" fontId="21" fillId="0" borderId="0" xfId="46" applyNumberFormat="1" applyFont="1" applyFill="1" applyBorder="1" applyAlignment="1" applyProtection="1">
      <alignment horizontal="center" vertical="center" wrapText="1"/>
    </xf>
    <xf numFmtId="0" fontId="24" fillId="0" borderId="0" xfId="46" applyNumberFormat="1" applyFont="1" applyFill="1" applyBorder="1" applyAlignment="1" applyProtection="1">
      <alignment horizontal="right" vertical="top" wrapText="1"/>
    </xf>
    <xf numFmtId="0" fontId="15" fillId="0" borderId="5" xfId="46" applyNumberFormat="1" applyFont="1" applyFill="1" applyBorder="1" applyAlignment="1" applyProtection="1">
      <alignment horizontal="center" vertical="top" wrapText="1"/>
    </xf>
    <xf numFmtId="0" fontId="15" fillId="0" borderId="9" xfId="46" applyNumberFormat="1" applyFont="1" applyFill="1" applyBorder="1" applyAlignment="1" applyProtection="1">
      <alignment horizontal="center" vertical="top" wrapText="1"/>
    </xf>
    <xf numFmtId="0" fontId="20" fillId="0" borderId="0" xfId="46" applyFont="1" applyAlignment="1">
      <alignment horizontal="center" vertical="center"/>
    </xf>
    <xf numFmtId="0" fontId="15" fillId="0" borderId="0" xfId="46" applyNumberFormat="1" applyFont="1" applyFill="1" applyBorder="1" applyAlignment="1" applyProtection="1">
      <alignment horizontal="center" vertical="center"/>
    </xf>
    <xf numFmtId="0" fontId="19" fillId="0" borderId="0" xfId="46" applyNumberFormat="1" applyFont="1" applyFill="1" applyBorder="1" applyAlignment="1" applyProtection="1">
      <alignment horizontal="center" vertical="center"/>
    </xf>
    <xf numFmtId="0" fontId="12" fillId="11" borderId="0" xfId="38" applyFont="1" applyFill="1" applyAlignment="1" applyProtection="1">
      <alignment horizontal="center"/>
      <protection hidden="1"/>
    </xf>
    <xf numFmtId="0" fontId="12" fillId="11" borderId="0" xfId="0" applyFont="1" applyFill="1" applyAlignment="1">
      <alignment horizontal="center" vertical="center"/>
    </xf>
    <xf numFmtId="0" fontId="13" fillId="11" borderId="0" xfId="0" applyFont="1" applyFill="1" applyBorder="1" applyAlignment="1" applyProtection="1">
      <alignment horizontal="center" vertical="center" wrapText="1"/>
      <protection locked="0"/>
    </xf>
    <xf numFmtId="0" fontId="13" fillId="11" borderId="0" xfId="0" applyFont="1" applyFill="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2" fillId="0" borderId="12"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13" xfId="0"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cellXfs>
  <cellStyles count="47">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xfId="44"/>
    <cellStyle name="Обычный 3 2 2" xfId="42"/>
    <cellStyle name="Обычный 3 2 2 2" xfId="45"/>
    <cellStyle name="Обычный 3 3" xfId="46"/>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FF66CC"/>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7096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6"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 xmlns:a16="http://schemas.microsoft.com/office/drawing/2014/main" id="{00000000-0008-0000-0400-000007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27</xdr:row>
      <xdr:rowOff>0</xdr:rowOff>
    </xdr:to>
    <xdr:sp macro="" textlink="">
      <xdr:nvSpPr>
        <xdr:cNvPr id="11"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3" name="Text Box 1">
          <a:extLst>
            <a:ext uri="{FF2B5EF4-FFF2-40B4-BE49-F238E27FC236}">
              <a16:creationId xmlns="" xmlns:a16="http://schemas.microsoft.com/office/drawing/2014/main" id="{00000000-0008-0000-0400-00000D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4" name="Text Box 1">
          <a:extLst>
            <a:ext uri="{FF2B5EF4-FFF2-40B4-BE49-F238E27FC236}">
              <a16:creationId xmlns="" xmlns:a16="http://schemas.microsoft.com/office/drawing/2014/main" id="{00000000-0008-0000-0400-00000E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5" name="Text Box 1">
          <a:extLst>
            <a:ext uri="{FF2B5EF4-FFF2-40B4-BE49-F238E27FC236}">
              <a16:creationId xmlns="" xmlns:a16="http://schemas.microsoft.com/office/drawing/2014/main" id="{00000000-0008-0000-0400-00000F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6" name="Text Box 1">
          <a:extLst>
            <a:ext uri="{FF2B5EF4-FFF2-40B4-BE49-F238E27FC236}">
              <a16:creationId xmlns="" xmlns:a16="http://schemas.microsoft.com/office/drawing/2014/main" id="{00000000-0008-0000-0400-000010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7" name="Text Box 1">
          <a:extLst>
            <a:ext uri="{FF2B5EF4-FFF2-40B4-BE49-F238E27FC236}">
              <a16:creationId xmlns="" xmlns:a16="http://schemas.microsoft.com/office/drawing/2014/main" id="{00000000-0008-0000-0400-000011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8" name="Text Box 1">
          <a:extLst>
            <a:ext uri="{FF2B5EF4-FFF2-40B4-BE49-F238E27FC236}">
              <a16:creationId xmlns="" xmlns:a16="http://schemas.microsoft.com/office/drawing/2014/main" id="{00000000-0008-0000-0400-000012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9" name="Text Box 1">
          <a:extLst>
            <a:ext uri="{FF2B5EF4-FFF2-40B4-BE49-F238E27FC236}">
              <a16:creationId xmlns="" xmlns:a16="http://schemas.microsoft.com/office/drawing/2014/main" id="{00000000-0008-0000-0400-000013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20" name="Text Box 1">
          <a:extLst>
            <a:ext uri="{FF2B5EF4-FFF2-40B4-BE49-F238E27FC236}">
              <a16:creationId xmlns="" xmlns:a16="http://schemas.microsoft.com/office/drawing/2014/main" id="{00000000-0008-0000-0400-000014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21</xdr:row>
      <xdr:rowOff>201930</xdr:rowOff>
    </xdr:to>
    <xdr:sp macro="" textlink="">
      <xdr:nvSpPr>
        <xdr:cNvPr id="21"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22"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23"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24"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7096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25"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27</xdr:row>
      <xdr:rowOff>0</xdr:rowOff>
    </xdr:to>
    <xdr:sp macro="" textlink="">
      <xdr:nvSpPr>
        <xdr:cNvPr id="26"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789622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28</xdr:row>
      <xdr:rowOff>200025</xdr:rowOff>
    </xdr:to>
    <xdr:sp macro="" textlink="">
      <xdr:nvSpPr>
        <xdr:cNvPr id="27"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9296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C51"/>
  <sheetViews>
    <sheetView view="pageBreakPreview" zoomScaleNormal="80" zoomScaleSheetLayoutView="100" workbookViewId="0">
      <selection activeCell="B23" sqref="B23"/>
    </sheetView>
  </sheetViews>
  <sheetFormatPr defaultColWidth="31" defaultRowHeight="15.75" x14ac:dyDescent="0.25"/>
  <cols>
    <col min="1" max="1" width="28.28515625" style="1" customWidth="1"/>
    <col min="2" max="2" width="46.28515625" style="4" customWidth="1"/>
    <col min="3" max="3" width="16.28515625" style="14" customWidth="1"/>
    <col min="4" max="16384" width="31" style="2"/>
  </cols>
  <sheetData>
    <row r="1" spans="1:3" x14ac:dyDescent="0.25">
      <c r="B1" s="230" t="s">
        <v>39</v>
      </c>
      <c r="C1" s="230"/>
    </row>
    <row r="2" spans="1:3" x14ac:dyDescent="0.25">
      <c r="B2" s="230" t="s">
        <v>38</v>
      </c>
      <c r="C2" s="230"/>
    </row>
    <row r="3" spans="1:3" x14ac:dyDescent="0.25">
      <c r="B3" s="230" t="s">
        <v>436</v>
      </c>
      <c r="C3" s="230"/>
    </row>
    <row r="4" spans="1:3" x14ac:dyDescent="0.25">
      <c r="B4" s="230" t="s">
        <v>440</v>
      </c>
      <c r="C4" s="230"/>
    </row>
    <row r="5" spans="1:3" x14ac:dyDescent="0.25">
      <c r="B5" s="230" t="s">
        <v>437</v>
      </c>
      <c r="C5" s="230"/>
    </row>
    <row r="6" spans="1:3" x14ac:dyDescent="0.25">
      <c r="B6" s="230" t="s">
        <v>441</v>
      </c>
      <c r="C6" s="230"/>
    </row>
    <row r="7" spans="1:3" x14ac:dyDescent="0.25">
      <c r="B7" s="230" t="s">
        <v>504</v>
      </c>
      <c r="C7" s="230"/>
    </row>
    <row r="9" spans="1:3" x14ac:dyDescent="0.25">
      <c r="A9" s="3"/>
      <c r="B9" s="228" t="s">
        <v>39</v>
      </c>
      <c r="C9" s="228"/>
    </row>
    <row r="10" spans="1:3" x14ac:dyDescent="0.25">
      <c r="A10" s="3"/>
      <c r="B10" s="228" t="s">
        <v>38</v>
      </c>
      <c r="C10" s="228"/>
    </row>
    <row r="11" spans="1:3" x14ac:dyDescent="0.25">
      <c r="A11" s="3"/>
      <c r="B11" s="228" t="s">
        <v>40</v>
      </c>
      <c r="C11" s="228"/>
    </row>
    <row r="12" spans="1:3" x14ac:dyDescent="0.25">
      <c r="A12" s="3"/>
      <c r="B12" s="228" t="s">
        <v>41</v>
      </c>
      <c r="C12" s="228"/>
    </row>
    <row r="13" spans="1:3" x14ac:dyDescent="0.25">
      <c r="A13" s="3"/>
      <c r="B13" s="228" t="s">
        <v>419</v>
      </c>
      <c r="C13" s="228"/>
    </row>
    <row r="14" spans="1:3" x14ac:dyDescent="0.25">
      <c r="A14" s="3"/>
      <c r="B14" s="228" t="s">
        <v>435</v>
      </c>
      <c r="C14" s="228"/>
    </row>
    <row r="15" spans="1:3" x14ac:dyDescent="0.25">
      <c r="A15" s="3"/>
    </row>
    <row r="16" spans="1:3" x14ac:dyDescent="0.25">
      <c r="A16" s="3"/>
    </row>
    <row r="17" spans="1:3" ht="17.649999999999999" customHeight="1" x14ac:dyDescent="0.25">
      <c r="A17" s="229" t="s">
        <v>42</v>
      </c>
      <c r="B17" s="229"/>
      <c r="C17" s="229"/>
    </row>
    <row r="18" spans="1:3" ht="17.649999999999999" customHeight="1" x14ac:dyDescent="0.25">
      <c r="A18" s="229" t="s">
        <v>445</v>
      </c>
      <c r="B18" s="229"/>
      <c r="C18" s="229"/>
    </row>
    <row r="19" spans="1:3" ht="17.649999999999999" customHeight="1" x14ac:dyDescent="0.25">
      <c r="A19" s="229" t="s">
        <v>2</v>
      </c>
      <c r="B19" s="229"/>
      <c r="C19" s="229"/>
    </row>
    <row r="20" spans="1:3" ht="18.75" x14ac:dyDescent="0.25">
      <c r="A20" s="227" t="s">
        <v>418</v>
      </c>
      <c r="B20" s="227"/>
      <c r="C20" s="227"/>
    </row>
    <row r="21" spans="1:3" x14ac:dyDescent="0.25">
      <c r="A21" s="3" t="s">
        <v>22</v>
      </c>
      <c r="B21" s="5"/>
    </row>
    <row r="22" spans="1:3" x14ac:dyDescent="0.25">
      <c r="A22" s="6"/>
      <c r="B22" s="7"/>
      <c r="C22" s="8" t="s">
        <v>37</v>
      </c>
    </row>
    <row r="23" spans="1:3" s="12" customFormat="1" ht="31.5" x14ac:dyDescent="0.2">
      <c r="A23" s="9" t="s">
        <v>1</v>
      </c>
      <c r="B23" s="10" t="s">
        <v>32</v>
      </c>
      <c r="C23" s="11" t="s">
        <v>53</v>
      </c>
    </row>
    <row r="24" spans="1:3" ht="31.5" x14ac:dyDescent="0.25">
      <c r="A24" s="13" t="s">
        <v>10</v>
      </c>
      <c r="B24" s="15" t="s">
        <v>4</v>
      </c>
      <c r="C24" s="16">
        <f>C25+C27+C29+C32+C35+C39+C43</f>
        <v>174364653.44999999</v>
      </c>
    </row>
    <row r="25" spans="1:3" x14ac:dyDescent="0.25">
      <c r="A25" s="13" t="s">
        <v>11</v>
      </c>
      <c r="B25" s="15" t="s">
        <v>5</v>
      </c>
      <c r="C25" s="16">
        <f>C26</f>
        <v>95378504.579999998</v>
      </c>
    </row>
    <row r="26" spans="1:3" x14ac:dyDescent="0.25">
      <c r="A26" s="13" t="s">
        <v>12</v>
      </c>
      <c r="B26" s="15" t="s">
        <v>6</v>
      </c>
      <c r="C26" s="16">
        <f>73715254.55+12020451.52+9642798.51</f>
        <v>95378504.579999998</v>
      </c>
    </row>
    <row r="27" spans="1:3" hidden="1" x14ac:dyDescent="0.25">
      <c r="A27" s="13" t="s">
        <v>13</v>
      </c>
      <c r="B27" s="15" t="s">
        <v>7</v>
      </c>
      <c r="C27" s="16">
        <f>C28</f>
        <v>0</v>
      </c>
    </row>
    <row r="28" spans="1:3" ht="63" hidden="1" x14ac:dyDescent="0.25">
      <c r="A28" s="13" t="s">
        <v>43</v>
      </c>
      <c r="B28" s="15" t="s">
        <v>44</v>
      </c>
      <c r="C28" s="16">
        <v>0</v>
      </c>
    </row>
    <row r="29" spans="1:3" x14ac:dyDescent="0.25">
      <c r="A29" s="13" t="s">
        <v>14</v>
      </c>
      <c r="B29" s="15" t="s">
        <v>8</v>
      </c>
      <c r="C29" s="16">
        <f>SUM(C30:C31)</f>
        <v>60879150</v>
      </c>
    </row>
    <row r="30" spans="1:3" x14ac:dyDescent="0.25">
      <c r="A30" s="20" t="s">
        <v>51</v>
      </c>
      <c r="B30" s="21" t="s">
        <v>52</v>
      </c>
      <c r="C30" s="16">
        <v>3067850</v>
      </c>
    </row>
    <row r="31" spans="1:3" x14ac:dyDescent="0.25">
      <c r="A31" s="13" t="s">
        <v>45</v>
      </c>
      <c r="B31" s="15" t="s">
        <v>46</v>
      </c>
      <c r="C31" s="16">
        <f>57811300</f>
        <v>57811300</v>
      </c>
    </row>
    <row r="32" spans="1:3" ht="63" x14ac:dyDescent="0.25">
      <c r="A32" s="13" t="s">
        <v>15</v>
      </c>
      <c r="B32" s="15" t="s">
        <v>9</v>
      </c>
      <c r="C32" s="16">
        <f>SUM(C33:C34)</f>
        <v>14999945.76</v>
      </c>
    </row>
    <row r="33" spans="1:3" ht="141.75" x14ac:dyDescent="0.25">
      <c r="A33" s="13" t="s">
        <v>16</v>
      </c>
      <c r="B33" s="15" t="s">
        <v>3</v>
      </c>
      <c r="C33" s="16">
        <f>14264342.54</f>
        <v>14264342.539999999</v>
      </c>
    </row>
    <row r="34" spans="1:3" ht="126" x14ac:dyDescent="0.25">
      <c r="A34" s="13" t="s">
        <v>33</v>
      </c>
      <c r="B34" s="15" t="s">
        <v>19</v>
      </c>
      <c r="C34" s="16">
        <v>735603.22</v>
      </c>
    </row>
    <row r="35" spans="1:3" ht="47.25" x14ac:dyDescent="0.25">
      <c r="A35" s="13" t="s">
        <v>17</v>
      </c>
      <c r="B35" s="15" t="s">
        <v>0</v>
      </c>
      <c r="C35" s="16">
        <f>C36</f>
        <v>569727.91999999993</v>
      </c>
    </row>
    <row r="36" spans="1:3" ht="47.25" x14ac:dyDescent="0.25">
      <c r="A36" s="13" t="s">
        <v>18</v>
      </c>
      <c r="B36" s="117" t="s">
        <v>34</v>
      </c>
      <c r="C36" s="16">
        <f>SUM(C37:C38)</f>
        <v>569727.91999999993</v>
      </c>
    </row>
    <row r="37" spans="1:3" ht="63" x14ac:dyDescent="0.25">
      <c r="A37" s="13" t="s">
        <v>431</v>
      </c>
      <c r="B37" s="117" t="s">
        <v>432</v>
      </c>
      <c r="C37" s="16">
        <f>30000+144000+314271.24</f>
        <v>488271.24</v>
      </c>
    </row>
    <row r="38" spans="1:3" ht="141.75" x14ac:dyDescent="0.25">
      <c r="A38" s="13" t="s">
        <v>433</v>
      </c>
      <c r="B38" s="117" t="s">
        <v>434</v>
      </c>
      <c r="C38" s="16">
        <f>138900-92700+35256.68</f>
        <v>81456.679999999993</v>
      </c>
    </row>
    <row r="39" spans="1:3" ht="31.5" x14ac:dyDescent="0.25">
      <c r="A39" s="13" t="s">
        <v>505</v>
      </c>
      <c r="B39" s="117" t="s">
        <v>506</v>
      </c>
      <c r="C39" s="16">
        <f>SUM(C40:C42)</f>
        <v>1475104.33</v>
      </c>
    </row>
    <row r="40" spans="1:3" ht="63" x14ac:dyDescent="0.25">
      <c r="A40" s="13" t="s">
        <v>507</v>
      </c>
      <c r="B40" s="117" t="s">
        <v>508</v>
      </c>
      <c r="C40" s="16">
        <v>98861.02</v>
      </c>
    </row>
    <row r="41" spans="1:3" ht="110.25" x14ac:dyDescent="0.25">
      <c r="A41" s="13" t="s">
        <v>509</v>
      </c>
      <c r="B41" s="117" t="s">
        <v>510</v>
      </c>
      <c r="C41" s="16">
        <v>1069891.31</v>
      </c>
    </row>
    <row r="42" spans="1:3" ht="31.5" x14ac:dyDescent="0.25">
      <c r="A42" s="13" t="s">
        <v>511</v>
      </c>
      <c r="B42" s="117" t="s">
        <v>512</v>
      </c>
      <c r="C42" s="16">
        <v>306352</v>
      </c>
    </row>
    <row r="43" spans="1:3" x14ac:dyDescent="0.25">
      <c r="A43" s="13" t="s">
        <v>47</v>
      </c>
      <c r="B43" s="15" t="s">
        <v>48</v>
      </c>
      <c r="C43" s="16">
        <f>C44</f>
        <v>1062220.8600000001</v>
      </c>
    </row>
    <row r="44" spans="1:3" x14ac:dyDescent="0.25">
      <c r="A44" s="13" t="s">
        <v>49</v>
      </c>
      <c r="B44" s="15" t="s">
        <v>50</v>
      </c>
      <c r="C44" s="16">
        <v>1062220.8600000001</v>
      </c>
    </row>
    <row r="45" spans="1:3" x14ac:dyDescent="0.25">
      <c r="A45" s="13" t="s">
        <v>28</v>
      </c>
      <c r="B45" s="15" t="s">
        <v>29</v>
      </c>
      <c r="C45" s="16">
        <f>C46</f>
        <v>2025265.69</v>
      </c>
    </row>
    <row r="46" spans="1:3" ht="47.25" x14ac:dyDescent="0.25">
      <c r="A46" s="13" t="s">
        <v>30</v>
      </c>
      <c r="B46" s="15" t="s">
        <v>31</v>
      </c>
      <c r="C46" s="16">
        <f>C47+C48+C49+C50</f>
        <v>2025265.69</v>
      </c>
    </row>
    <row r="47" spans="1:3" ht="31.5" hidden="1" x14ac:dyDescent="0.25">
      <c r="A47" s="13" t="s">
        <v>35</v>
      </c>
      <c r="B47" s="15" t="s">
        <v>36</v>
      </c>
      <c r="C47" s="16"/>
    </row>
    <row r="48" spans="1:3" ht="47.25" hidden="1" x14ac:dyDescent="0.25">
      <c r="A48" s="13" t="s">
        <v>24</v>
      </c>
      <c r="B48" s="15" t="s">
        <v>20</v>
      </c>
      <c r="C48" s="16"/>
    </row>
    <row r="49" spans="1:3" ht="31.5" x14ac:dyDescent="0.25">
      <c r="A49" s="13" t="s">
        <v>25</v>
      </c>
      <c r="B49" s="15" t="s">
        <v>23</v>
      </c>
      <c r="C49" s="16">
        <f>574811.09+17760.75-231279.82</f>
        <v>361292.01999999996</v>
      </c>
    </row>
    <row r="50" spans="1:3" x14ac:dyDescent="0.25">
      <c r="A50" s="13" t="s">
        <v>26</v>
      </c>
      <c r="B50" s="15" t="s">
        <v>21</v>
      </c>
      <c r="C50" s="16">
        <f>1597973.67+60000+6000</f>
        <v>1663973.67</v>
      </c>
    </row>
    <row r="51" spans="1:3" x14ac:dyDescent="0.25">
      <c r="A51" s="17"/>
      <c r="B51" s="18" t="s">
        <v>27</v>
      </c>
      <c r="C51" s="19">
        <f>C24+C45</f>
        <v>176389919.13999999</v>
      </c>
    </row>
  </sheetData>
  <sheetProtection formatCells="0" formatColumns="0" formatRows="0" deleteColumns="0" deleteRows="0"/>
  <mergeCells count="17">
    <mergeCell ref="B6:C6"/>
    <mergeCell ref="B7:C7"/>
    <mergeCell ref="B1:C1"/>
    <mergeCell ref="B2:C2"/>
    <mergeCell ref="B3:C3"/>
    <mergeCell ref="B4:C4"/>
    <mergeCell ref="B5:C5"/>
    <mergeCell ref="A20:C20"/>
    <mergeCell ref="B9:C9"/>
    <mergeCell ref="B10:C10"/>
    <mergeCell ref="B11:C11"/>
    <mergeCell ref="B13:C13"/>
    <mergeCell ref="A17:C17"/>
    <mergeCell ref="A19:C19"/>
    <mergeCell ref="B14:C14"/>
    <mergeCell ref="B12:C12"/>
    <mergeCell ref="A18:C18"/>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D26"/>
  <sheetViews>
    <sheetView view="pageBreakPreview" zoomScaleNormal="100" zoomScaleSheetLayoutView="100" workbookViewId="0">
      <selection activeCell="B23" sqref="B23"/>
    </sheetView>
  </sheetViews>
  <sheetFormatPr defaultColWidth="8.85546875" defaultRowHeight="15.75" x14ac:dyDescent="0.25"/>
  <cols>
    <col min="1" max="1" width="58" style="208" customWidth="1"/>
    <col min="2" max="2" width="20.28515625" style="223" customWidth="1"/>
    <col min="3" max="3" width="20.7109375" style="223" customWidth="1"/>
    <col min="4" max="4" width="21.140625" style="223" customWidth="1"/>
    <col min="5" max="16384" width="8.85546875" style="209"/>
  </cols>
  <sheetData>
    <row r="1" spans="1:4" x14ac:dyDescent="0.25">
      <c r="B1" s="273" t="s">
        <v>492</v>
      </c>
      <c r="C1" s="273"/>
      <c r="D1" s="273"/>
    </row>
    <row r="2" spans="1:4" x14ac:dyDescent="0.25">
      <c r="B2" s="273" t="s">
        <v>38</v>
      </c>
      <c r="C2" s="273"/>
      <c r="D2" s="273"/>
    </row>
    <row r="3" spans="1:4" x14ac:dyDescent="0.25">
      <c r="B3" s="273" t="s">
        <v>436</v>
      </c>
      <c r="C3" s="273"/>
      <c r="D3" s="273"/>
    </row>
    <row r="4" spans="1:4" x14ac:dyDescent="0.25">
      <c r="B4" s="273" t="s">
        <v>440</v>
      </c>
      <c r="C4" s="273"/>
      <c r="D4" s="273"/>
    </row>
    <row r="5" spans="1:4" x14ac:dyDescent="0.25">
      <c r="B5" s="273" t="s">
        <v>437</v>
      </c>
      <c r="C5" s="273"/>
      <c r="D5" s="273"/>
    </row>
    <row r="6" spans="1:4" x14ac:dyDescent="0.25">
      <c r="B6" s="273" t="s">
        <v>441</v>
      </c>
      <c r="C6" s="273"/>
      <c r="D6" s="273"/>
    </row>
    <row r="7" spans="1:4" x14ac:dyDescent="0.25">
      <c r="B7" s="273" t="s">
        <v>504</v>
      </c>
      <c r="C7" s="273"/>
      <c r="D7" s="273"/>
    </row>
    <row r="9" spans="1:4" ht="15.75" customHeight="1" x14ac:dyDescent="0.25">
      <c r="A9" s="210"/>
      <c r="B9" s="274" t="s">
        <v>516</v>
      </c>
      <c r="C9" s="274"/>
      <c r="D9" s="274"/>
    </row>
    <row r="10" spans="1:4" ht="15.75" customHeight="1" x14ac:dyDescent="0.25">
      <c r="A10" s="211"/>
      <c r="B10" s="275" t="s">
        <v>38</v>
      </c>
      <c r="C10" s="275"/>
      <c r="D10" s="275"/>
    </row>
    <row r="11" spans="1:4" ht="15.75" customHeight="1" x14ac:dyDescent="0.25">
      <c r="A11" s="211"/>
      <c r="B11" s="275" t="s">
        <v>40</v>
      </c>
      <c r="C11" s="275"/>
      <c r="D11" s="275"/>
    </row>
    <row r="12" spans="1:4" ht="15.75" customHeight="1" x14ac:dyDescent="0.25">
      <c r="A12" s="211"/>
      <c r="B12" s="275" t="s">
        <v>41</v>
      </c>
      <c r="C12" s="275"/>
      <c r="D12" s="275"/>
    </row>
    <row r="13" spans="1:4" ht="15.75" customHeight="1" x14ac:dyDescent="0.25">
      <c r="A13" s="211"/>
      <c r="B13" s="275" t="s">
        <v>517</v>
      </c>
      <c r="C13" s="275"/>
      <c r="D13" s="275"/>
    </row>
    <row r="14" spans="1:4" ht="15.75" customHeight="1" x14ac:dyDescent="0.25">
      <c r="A14" s="212"/>
      <c r="B14" s="268" t="s">
        <v>435</v>
      </c>
      <c r="C14" s="268"/>
      <c r="D14" s="268"/>
    </row>
    <row r="15" spans="1:4" x14ac:dyDescent="0.25">
      <c r="A15" s="213"/>
      <c r="B15" s="214"/>
      <c r="C15" s="214"/>
      <c r="D15" s="214"/>
    </row>
    <row r="16" spans="1:4" x14ac:dyDescent="0.25">
      <c r="A16" s="213"/>
      <c r="B16" s="214"/>
      <c r="C16" s="214"/>
      <c r="D16" s="214"/>
    </row>
    <row r="17" spans="1:4" ht="61.5" customHeight="1" x14ac:dyDescent="0.25">
      <c r="A17" s="269" t="s">
        <v>518</v>
      </c>
      <c r="B17" s="269"/>
      <c r="C17" s="269"/>
      <c r="D17" s="269"/>
    </row>
    <row r="18" spans="1:4" x14ac:dyDescent="0.25">
      <c r="A18" s="215"/>
      <c r="B18" s="216"/>
      <c r="C18" s="216"/>
      <c r="D18" s="216"/>
    </row>
    <row r="19" spans="1:4" x14ac:dyDescent="0.25">
      <c r="A19" s="270" t="s">
        <v>37</v>
      </c>
      <c r="B19" s="270"/>
      <c r="C19" s="270"/>
      <c r="D19" s="270"/>
    </row>
    <row r="20" spans="1:4" ht="15.75" customHeight="1" x14ac:dyDescent="0.25">
      <c r="A20" s="271" t="s">
        <v>519</v>
      </c>
      <c r="B20" s="271" t="s">
        <v>53</v>
      </c>
      <c r="C20" s="271" t="s">
        <v>397</v>
      </c>
      <c r="D20" s="271" t="s">
        <v>420</v>
      </c>
    </row>
    <row r="21" spans="1:4" x14ac:dyDescent="0.25">
      <c r="A21" s="272"/>
      <c r="B21" s="272"/>
      <c r="C21" s="272"/>
      <c r="D21" s="272"/>
    </row>
    <row r="22" spans="1:4" ht="31.5" x14ac:dyDescent="0.25">
      <c r="A22" s="217" t="s">
        <v>520</v>
      </c>
      <c r="B22" s="218">
        <f>14347186.08+0.6</f>
        <v>14347186.68</v>
      </c>
      <c r="C22" s="219"/>
      <c r="D22" s="219"/>
    </row>
    <row r="23" spans="1:4" x14ac:dyDescent="0.25">
      <c r="A23" s="220" t="s">
        <v>46</v>
      </c>
      <c r="B23" s="218">
        <f>'Прил 1'!C31*0.744</f>
        <v>43011607.200000003</v>
      </c>
      <c r="C23" s="218">
        <f>'Прил 2'!C32*0.549</f>
        <v>31782268.800000001</v>
      </c>
      <c r="D23" s="218">
        <f>'Прил 2'!D32*0.549</f>
        <v>31827495.420000002</v>
      </c>
    </row>
    <row r="24" spans="1:4" x14ac:dyDescent="0.25">
      <c r="A24" s="221" t="s">
        <v>133</v>
      </c>
      <c r="B24" s="218">
        <f>SUM(B22:B23)</f>
        <v>57358793.880000003</v>
      </c>
      <c r="C24" s="218">
        <f t="shared" ref="C24:D24" si="0">SUM(C22:C23)</f>
        <v>31782268.800000001</v>
      </c>
      <c r="D24" s="218">
        <f t="shared" si="0"/>
        <v>31827495.420000002</v>
      </c>
    </row>
    <row r="25" spans="1:4" x14ac:dyDescent="0.25">
      <c r="B25" s="222">
        <f>'Прил 4'!I182</f>
        <v>57358793.88000001</v>
      </c>
      <c r="C25" s="222">
        <f>'Прил 7'!J145</f>
        <v>31782268.800000001</v>
      </c>
      <c r="D25" s="222">
        <f>'Прил 7'!K145</f>
        <v>31827495.420000002</v>
      </c>
    </row>
    <row r="26" spans="1:4" x14ac:dyDescent="0.25">
      <c r="B26" s="222">
        <f>B25-B24</f>
        <v>0</v>
      </c>
      <c r="C26" s="222">
        <f t="shared" ref="C26:D26" si="1">C25-C24</f>
        <v>0</v>
      </c>
      <c r="D26" s="222">
        <f t="shared" si="1"/>
        <v>0</v>
      </c>
    </row>
  </sheetData>
  <mergeCells count="19">
    <mergeCell ref="B13:D13"/>
    <mergeCell ref="B1:D1"/>
    <mergeCell ref="B2:D2"/>
    <mergeCell ref="B3:D3"/>
    <mergeCell ref="B4:D4"/>
    <mergeCell ref="B5:D5"/>
    <mergeCell ref="B6:D6"/>
    <mergeCell ref="B7:D7"/>
    <mergeCell ref="B9:D9"/>
    <mergeCell ref="B10:D10"/>
    <mergeCell ref="B11:D11"/>
    <mergeCell ref="B12:D12"/>
    <mergeCell ref="B14:D14"/>
    <mergeCell ref="A17:D17"/>
    <mergeCell ref="A19:D19"/>
    <mergeCell ref="A20:A21"/>
    <mergeCell ref="B20:B21"/>
    <mergeCell ref="C20:C21"/>
    <mergeCell ref="D20:D2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G29"/>
  <sheetViews>
    <sheetView zoomScaleNormal="100" zoomScaleSheetLayoutView="100" workbookViewId="0">
      <selection activeCell="C29" sqref="C29"/>
    </sheetView>
  </sheetViews>
  <sheetFormatPr defaultColWidth="9.140625" defaultRowHeight="12.75" x14ac:dyDescent="0.2"/>
  <cols>
    <col min="1" max="1" width="28.28515625" style="93" customWidth="1"/>
    <col min="2" max="2" width="45.28515625" style="93" customWidth="1"/>
    <col min="3" max="3" width="19.42578125" style="93" customWidth="1"/>
    <col min="4" max="4" width="9.140625" style="94"/>
    <col min="5" max="5" width="12.28515625" style="94" bestFit="1" customWidth="1"/>
    <col min="6" max="16384" width="9.140625" style="94"/>
  </cols>
  <sheetData>
    <row r="1" spans="1:3" ht="15.75" x14ac:dyDescent="0.2">
      <c r="B1" s="230" t="s">
        <v>524</v>
      </c>
      <c r="C1" s="230"/>
    </row>
    <row r="2" spans="1:3" ht="15.75" x14ac:dyDescent="0.2">
      <c r="B2" s="230" t="s">
        <v>38</v>
      </c>
      <c r="C2" s="230"/>
    </row>
    <row r="3" spans="1:3" ht="15.75" x14ac:dyDescent="0.2">
      <c r="B3" s="230" t="s">
        <v>436</v>
      </c>
      <c r="C3" s="230"/>
    </row>
    <row r="4" spans="1:3" ht="15.75" x14ac:dyDescent="0.2">
      <c r="B4" s="230" t="s">
        <v>440</v>
      </c>
      <c r="C4" s="230"/>
    </row>
    <row r="5" spans="1:3" ht="15.75" x14ac:dyDescent="0.2">
      <c r="B5" s="230" t="s">
        <v>437</v>
      </c>
      <c r="C5" s="230"/>
    </row>
    <row r="6" spans="1:3" ht="15.75" x14ac:dyDescent="0.2">
      <c r="B6" s="230" t="s">
        <v>441</v>
      </c>
      <c r="C6" s="230"/>
    </row>
    <row r="7" spans="1:3" ht="15.75" x14ac:dyDescent="0.2">
      <c r="B7" s="230" t="s">
        <v>504</v>
      </c>
      <c r="C7" s="230"/>
    </row>
    <row r="9" spans="1:3" s="82" customFormat="1" ht="15.75" x14ac:dyDescent="0.2">
      <c r="A9" s="81"/>
      <c r="B9" s="277" t="s">
        <v>341</v>
      </c>
      <c r="C9" s="277"/>
    </row>
    <row r="10" spans="1:3" s="82" customFormat="1" ht="15.75" x14ac:dyDescent="0.2">
      <c r="A10" s="81"/>
      <c r="B10" s="277" t="s">
        <v>38</v>
      </c>
      <c r="C10" s="277"/>
    </row>
    <row r="11" spans="1:3" s="82" customFormat="1" ht="15.75" x14ac:dyDescent="0.2">
      <c r="A11" s="81"/>
      <c r="B11" s="277" t="s">
        <v>40</v>
      </c>
      <c r="C11" s="277"/>
    </row>
    <row r="12" spans="1:3" s="82" customFormat="1" ht="15.75" x14ac:dyDescent="0.2">
      <c r="A12" s="81"/>
      <c r="B12" s="277" t="s">
        <v>41</v>
      </c>
      <c r="C12" s="277"/>
    </row>
    <row r="13" spans="1:3" s="82" customFormat="1" ht="15.75" x14ac:dyDescent="0.2">
      <c r="A13" s="81"/>
      <c r="B13" s="277" t="s">
        <v>419</v>
      </c>
      <c r="C13" s="277"/>
    </row>
    <row r="14" spans="1:3" s="82" customFormat="1" ht="15.75" x14ac:dyDescent="0.2">
      <c r="A14" s="81"/>
      <c r="B14" s="277" t="s">
        <v>435</v>
      </c>
      <c r="C14" s="277"/>
    </row>
    <row r="15" spans="1:3" s="82" customFormat="1" ht="15.75" x14ac:dyDescent="0.2">
      <c r="A15" s="81"/>
      <c r="B15" s="83" t="s">
        <v>22</v>
      </c>
      <c r="C15" s="83"/>
    </row>
    <row r="16" spans="1:3" s="82" customFormat="1" ht="18.75" x14ac:dyDescent="0.2">
      <c r="A16" s="278" t="s">
        <v>374</v>
      </c>
      <c r="B16" s="278"/>
      <c r="C16" s="278"/>
    </row>
    <row r="17" spans="1:7" s="82" customFormat="1" ht="48.75" customHeight="1" x14ac:dyDescent="0.2">
      <c r="A17" s="279" t="s">
        <v>426</v>
      </c>
      <c r="B17" s="279"/>
      <c r="C17" s="279"/>
    </row>
    <row r="18" spans="1:7" s="82" customFormat="1" ht="15" x14ac:dyDescent="0.25">
      <c r="A18" s="81"/>
      <c r="B18" s="81"/>
      <c r="C18" s="84" t="s">
        <v>37</v>
      </c>
    </row>
    <row r="19" spans="1:7" s="82" customFormat="1" ht="31.5" x14ac:dyDescent="0.2">
      <c r="A19" s="85" t="s">
        <v>375</v>
      </c>
      <c r="B19" s="85" t="s">
        <v>376</v>
      </c>
      <c r="C19" s="85" t="s">
        <v>377</v>
      </c>
    </row>
    <row r="20" spans="1:7" s="82" customFormat="1" ht="54.75" customHeight="1" x14ac:dyDescent="0.25">
      <c r="A20" s="86" t="s">
        <v>378</v>
      </c>
      <c r="B20" s="87" t="s">
        <v>379</v>
      </c>
      <c r="C20" s="88">
        <f>C21</f>
        <v>52421002.140000075</v>
      </c>
      <c r="E20" s="276"/>
      <c r="F20" s="276"/>
      <c r="G20" s="276"/>
    </row>
    <row r="21" spans="1:7" s="82" customFormat="1" ht="40.5" customHeight="1" x14ac:dyDescent="0.2">
      <c r="A21" s="89" t="s">
        <v>380</v>
      </c>
      <c r="B21" s="87" t="s">
        <v>55</v>
      </c>
      <c r="C21" s="90">
        <f>C22+C26</f>
        <v>52421002.140000075</v>
      </c>
    </row>
    <row r="22" spans="1:7" s="82" customFormat="1" ht="24" customHeight="1" x14ac:dyDescent="0.2">
      <c r="A22" s="89" t="s">
        <v>381</v>
      </c>
      <c r="B22" s="91" t="s">
        <v>56</v>
      </c>
      <c r="C22" s="90">
        <f>+C23</f>
        <v>-176389919.13999999</v>
      </c>
    </row>
    <row r="23" spans="1:7" s="82" customFormat="1" ht="38.25" customHeight="1" x14ac:dyDescent="0.2">
      <c r="A23" s="89" t="s">
        <v>382</v>
      </c>
      <c r="B23" s="91" t="s">
        <v>57</v>
      </c>
      <c r="C23" s="90">
        <f>+C24</f>
        <v>-176389919.13999999</v>
      </c>
    </row>
    <row r="24" spans="1:7" s="82" customFormat="1" ht="40.5" customHeight="1" x14ac:dyDescent="0.2">
      <c r="A24" s="89" t="s">
        <v>383</v>
      </c>
      <c r="B24" s="91" t="s">
        <v>58</v>
      </c>
      <c r="C24" s="90">
        <f>+C25</f>
        <v>-176389919.13999999</v>
      </c>
      <c r="E24" s="92"/>
    </row>
    <row r="25" spans="1:7" s="82" customFormat="1" ht="52.5" customHeight="1" x14ac:dyDescent="0.2">
      <c r="A25" s="89" t="s">
        <v>391</v>
      </c>
      <c r="B25" s="91" t="s">
        <v>390</v>
      </c>
      <c r="C25" s="90">
        <f>-'Прил 1'!C51</f>
        <v>-176389919.13999999</v>
      </c>
    </row>
    <row r="26" spans="1:7" s="82" customFormat="1" ht="23.25" customHeight="1" x14ac:dyDescent="0.2">
      <c r="A26" s="89" t="s">
        <v>384</v>
      </c>
      <c r="B26" s="91" t="s">
        <v>385</v>
      </c>
      <c r="C26" s="90">
        <f>+C27</f>
        <v>228810921.28000006</v>
      </c>
    </row>
    <row r="27" spans="1:7" s="82" customFormat="1" ht="37.5" customHeight="1" x14ac:dyDescent="0.2">
      <c r="A27" s="89" t="s">
        <v>386</v>
      </c>
      <c r="B27" s="91" t="s">
        <v>387</v>
      </c>
      <c r="C27" s="90">
        <f>C28</f>
        <v>228810921.28000006</v>
      </c>
    </row>
    <row r="28" spans="1:7" s="82" customFormat="1" ht="40.5" customHeight="1" x14ac:dyDescent="0.2">
      <c r="A28" s="89" t="s">
        <v>388</v>
      </c>
      <c r="B28" s="91" t="s">
        <v>389</v>
      </c>
      <c r="C28" s="90">
        <f>C29</f>
        <v>228810921.28000006</v>
      </c>
    </row>
    <row r="29" spans="1:7" s="82" customFormat="1" ht="55.5" customHeight="1" x14ac:dyDescent="0.2">
      <c r="A29" s="89" t="s">
        <v>393</v>
      </c>
      <c r="B29" s="91" t="s">
        <v>392</v>
      </c>
      <c r="C29" s="90">
        <f>'Прил 6'!J364</f>
        <v>228810921.28000006</v>
      </c>
    </row>
  </sheetData>
  <mergeCells count="16">
    <mergeCell ref="B6:C6"/>
    <mergeCell ref="B7:C7"/>
    <mergeCell ref="B1:C1"/>
    <mergeCell ref="B2:C2"/>
    <mergeCell ref="B3:C3"/>
    <mergeCell ref="B4:C4"/>
    <mergeCell ref="B5:C5"/>
    <mergeCell ref="E20:G20"/>
    <mergeCell ref="B11:C11"/>
    <mergeCell ref="B12:C12"/>
    <mergeCell ref="B9:C9"/>
    <mergeCell ref="B10:C10"/>
    <mergeCell ref="B13:C13"/>
    <mergeCell ref="B14:C14"/>
    <mergeCell ref="A16:C16"/>
    <mergeCell ref="A17:C17"/>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D30"/>
  <sheetViews>
    <sheetView tabSelected="1" view="pageBreakPreview" zoomScaleNormal="100" zoomScaleSheetLayoutView="100" workbookViewId="0">
      <selection activeCell="T12" sqref="T12"/>
    </sheetView>
  </sheetViews>
  <sheetFormatPr defaultColWidth="9.140625" defaultRowHeight="12.75" x14ac:dyDescent="0.2"/>
  <cols>
    <col min="1" max="1" width="28" style="93" customWidth="1"/>
    <col min="2" max="2" width="31" style="93" customWidth="1"/>
    <col min="3" max="4" width="18.5703125" style="93" customWidth="1"/>
    <col min="5" max="5" width="9.140625" style="94"/>
    <col min="6" max="6" width="12.28515625" style="94" bestFit="1" customWidth="1"/>
    <col min="7" max="16384" width="9.140625" style="94"/>
  </cols>
  <sheetData>
    <row r="1" spans="1:4" ht="15.75" x14ac:dyDescent="0.2">
      <c r="B1" s="230" t="s">
        <v>523</v>
      </c>
      <c r="C1" s="230"/>
      <c r="D1" s="230"/>
    </row>
    <row r="2" spans="1:4" ht="15.75" x14ac:dyDescent="0.2">
      <c r="B2" s="230" t="s">
        <v>38</v>
      </c>
      <c r="C2" s="230"/>
      <c r="D2" s="230"/>
    </row>
    <row r="3" spans="1:4" ht="15.75" x14ac:dyDescent="0.2">
      <c r="B3" s="230" t="s">
        <v>436</v>
      </c>
      <c r="C3" s="230"/>
      <c r="D3" s="230"/>
    </row>
    <row r="4" spans="1:4" ht="15.75" x14ac:dyDescent="0.2">
      <c r="B4" s="230" t="s">
        <v>440</v>
      </c>
      <c r="C4" s="230"/>
      <c r="D4" s="230"/>
    </row>
    <row r="5" spans="1:4" ht="15.75" x14ac:dyDescent="0.2">
      <c r="B5" s="230" t="s">
        <v>437</v>
      </c>
      <c r="C5" s="230"/>
      <c r="D5" s="230"/>
    </row>
    <row r="6" spans="1:4" ht="15.75" x14ac:dyDescent="0.2">
      <c r="B6" s="230" t="s">
        <v>441</v>
      </c>
      <c r="C6" s="230"/>
      <c r="D6" s="230"/>
    </row>
    <row r="7" spans="1:4" ht="15.75" x14ac:dyDescent="0.2">
      <c r="B7" s="230" t="s">
        <v>504</v>
      </c>
      <c r="C7" s="230"/>
      <c r="D7" s="230"/>
    </row>
    <row r="9" spans="1:4" ht="15.75" x14ac:dyDescent="0.2">
      <c r="A9" s="224"/>
      <c r="B9" s="230" t="s">
        <v>521</v>
      </c>
      <c r="C9" s="230"/>
      <c r="D9" s="230"/>
    </row>
    <row r="10" spans="1:4" ht="15.75" x14ac:dyDescent="0.2">
      <c r="A10" s="224"/>
      <c r="B10" s="230" t="s">
        <v>38</v>
      </c>
      <c r="C10" s="230"/>
      <c r="D10" s="230"/>
    </row>
    <row r="11" spans="1:4" ht="15.75" x14ac:dyDescent="0.2">
      <c r="A11" s="224"/>
      <c r="B11" s="230" t="s">
        <v>40</v>
      </c>
      <c r="C11" s="230"/>
      <c r="D11" s="230"/>
    </row>
    <row r="12" spans="1:4" ht="15.75" x14ac:dyDescent="0.2">
      <c r="A12" s="224"/>
      <c r="B12" s="230" t="s">
        <v>41</v>
      </c>
      <c r="C12" s="230"/>
      <c r="D12" s="230"/>
    </row>
    <row r="13" spans="1:4" ht="15.75" x14ac:dyDescent="0.2">
      <c r="A13" s="224"/>
      <c r="B13" s="230" t="s">
        <v>419</v>
      </c>
      <c r="C13" s="230"/>
      <c r="D13" s="230"/>
    </row>
    <row r="14" spans="1:4" ht="15.75" x14ac:dyDescent="0.2">
      <c r="A14" s="224"/>
      <c r="B14" s="230" t="s">
        <v>435</v>
      </c>
      <c r="C14" s="230"/>
      <c r="D14" s="230"/>
    </row>
    <row r="15" spans="1:4" ht="15.75" x14ac:dyDescent="0.2">
      <c r="A15" s="224"/>
      <c r="B15" s="1" t="s">
        <v>22</v>
      </c>
      <c r="C15" s="1"/>
      <c r="D15" s="1"/>
    </row>
    <row r="16" spans="1:4" ht="20.25" customHeight="1" x14ac:dyDescent="0.2">
      <c r="A16" s="280" t="s">
        <v>374</v>
      </c>
      <c r="B16" s="280"/>
      <c r="C16" s="280"/>
      <c r="D16" s="280"/>
    </row>
    <row r="17" spans="1:4" ht="45" customHeight="1" x14ac:dyDescent="0.2">
      <c r="A17" s="281" t="s">
        <v>522</v>
      </c>
      <c r="B17" s="281"/>
      <c r="C17" s="281"/>
      <c r="D17" s="281"/>
    </row>
    <row r="18" spans="1:4" ht="20.25" customHeight="1" x14ac:dyDescent="0.25">
      <c r="A18" s="224"/>
      <c r="B18" s="224"/>
      <c r="C18" s="224"/>
      <c r="D18" s="225" t="s">
        <v>37</v>
      </c>
    </row>
    <row r="19" spans="1:4" ht="20.25" customHeight="1" x14ac:dyDescent="0.2">
      <c r="A19" s="282" t="s">
        <v>375</v>
      </c>
      <c r="B19" s="282" t="s">
        <v>376</v>
      </c>
      <c r="C19" s="284" t="s">
        <v>377</v>
      </c>
      <c r="D19" s="285"/>
    </row>
    <row r="20" spans="1:4" ht="20.25" customHeight="1" x14ac:dyDescent="0.2">
      <c r="A20" s="283"/>
      <c r="B20" s="283"/>
      <c r="C20" s="226" t="s">
        <v>397</v>
      </c>
      <c r="D20" s="226" t="s">
        <v>420</v>
      </c>
    </row>
    <row r="21" spans="1:4" ht="67.5" customHeight="1" x14ac:dyDescent="0.2">
      <c r="A21" s="86" t="s">
        <v>378</v>
      </c>
      <c r="B21" s="87" t="s">
        <v>379</v>
      </c>
      <c r="C21" s="88">
        <f>C22</f>
        <v>0</v>
      </c>
      <c r="D21" s="88">
        <f>D22</f>
        <v>0</v>
      </c>
    </row>
    <row r="22" spans="1:4" ht="56.25" customHeight="1" x14ac:dyDescent="0.2">
      <c r="A22" s="89" t="s">
        <v>380</v>
      </c>
      <c r="B22" s="87" t="s">
        <v>55</v>
      </c>
      <c r="C22" s="90">
        <f>C23+C27</f>
        <v>0</v>
      </c>
      <c r="D22" s="90">
        <f>D23+D27</f>
        <v>0</v>
      </c>
    </row>
    <row r="23" spans="1:4" ht="31.5" x14ac:dyDescent="0.2">
      <c r="A23" s="89" t="s">
        <v>381</v>
      </c>
      <c r="B23" s="91" t="s">
        <v>56</v>
      </c>
      <c r="C23" s="90">
        <f t="shared" ref="C23:D25" si="0">+C24</f>
        <v>-165016966.88</v>
      </c>
      <c r="D23" s="90">
        <f t="shared" si="0"/>
        <v>-171966122.07000002</v>
      </c>
    </row>
    <row r="24" spans="1:4" ht="31.5" x14ac:dyDescent="0.2">
      <c r="A24" s="89" t="s">
        <v>382</v>
      </c>
      <c r="B24" s="91" t="s">
        <v>57</v>
      </c>
      <c r="C24" s="90">
        <f t="shared" si="0"/>
        <v>-165016966.88</v>
      </c>
      <c r="D24" s="90">
        <f t="shared" si="0"/>
        <v>-171966122.07000002</v>
      </c>
    </row>
    <row r="25" spans="1:4" ht="31.5" x14ac:dyDescent="0.2">
      <c r="A25" s="89" t="s">
        <v>383</v>
      </c>
      <c r="B25" s="91" t="s">
        <v>58</v>
      </c>
      <c r="C25" s="90">
        <f t="shared" si="0"/>
        <v>-165016966.88</v>
      </c>
      <c r="D25" s="90">
        <f t="shared" si="0"/>
        <v>-171966122.07000002</v>
      </c>
    </row>
    <row r="26" spans="1:4" ht="47.25" x14ac:dyDescent="0.2">
      <c r="A26" s="89" t="s">
        <v>391</v>
      </c>
      <c r="B26" s="91" t="s">
        <v>390</v>
      </c>
      <c r="C26" s="90">
        <f>-'Прил 2'!C51</f>
        <v>-165016966.88</v>
      </c>
      <c r="D26" s="90">
        <f>-'Прил 2'!D51</f>
        <v>-171966122.07000002</v>
      </c>
    </row>
    <row r="27" spans="1:4" ht="31.5" x14ac:dyDescent="0.2">
      <c r="A27" s="89" t="s">
        <v>384</v>
      </c>
      <c r="B27" s="91" t="s">
        <v>385</v>
      </c>
      <c r="C27" s="90">
        <f>+C28</f>
        <v>165016966.88000003</v>
      </c>
      <c r="D27" s="90">
        <f>+D28</f>
        <v>171966122.06999999</v>
      </c>
    </row>
    <row r="28" spans="1:4" ht="47.25" x14ac:dyDescent="0.2">
      <c r="A28" s="89" t="s">
        <v>386</v>
      </c>
      <c r="B28" s="91" t="s">
        <v>387</v>
      </c>
      <c r="C28" s="90">
        <f>C29</f>
        <v>165016966.88000003</v>
      </c>
      <c r="D28" s="90">
        <f>D29</f>
        <v>171966122.06999999</v>
      </c>
    </row>
    <row r="29" spans="1:4" ht="63" x14ac:dyDescent="0.2">
      <c r="A29" s="89" t="s">
        <v>388</v>
      </c>
      <c r="B29" s="91" t="s">
        <v>389</v>
      </c>
      <c r="C29" s="90">
        <f>C30</f>
        <v>165016966.88000003</v>
      </c>
      <c r="D29" s="90">
        <f>D30</f>
        <v>171966122.06999999</v>
      </c>
    </row>
    <row r="30" spans="1:4" ht="47.25" x14ac:dyDescent="0.2">
      <c r="A30" s="89" t="s">
        <v>393</v>
      </c>
      <c r="B30" s="91" t="s">
        <v>392</v>
      </c>
      <c r="C30" s="90">
        <f>'Прил 7'!J327</f>
        <v>165016966.88000003</v>
      </c>
      <c r="D30" s="90">
        <f>'Прил 7'!K327</f>
        <v>171966122.06999999</v>
      </c>
    </row>
  </sheetData>
  <mergeCells count="18">
    <mergeCell ref="B6:D6"/>
    <mergeCell ref="B7:D7"/>
    <mergeCell ref="A16:D16"/>
    <mergeCell ref="A17:D17"/>
    <mergeCell ref="A19:A20"/>
    <mergeCell ref="B19:B20"/>
    <mergeCell ref="C19:D19"/>
    <mergeCell ref="B9:D9"/>
    <mergeCell ref="B10:D10"/>
    <mergeCell ref="B11:D11"/>
    <mergeCell ref="B12:D12"/>
    <mergeCell ref="B13:D13"/>
    <mergeCell ref="B14:D14"/>
    <mergeCell ref="B1:D1"/>
    <mergeCell ref="B2:D2"/>
    <mergeCell ref="B3:D3"/>
    <mergeCell ref="B4:D4"/>
    <mergeCell ref="B5:D5"/>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D51"/>
  <sheetViews>
    <sheetView view="pageBreakPreview" zoomScale="96" zoomScaleNormal="80" zoomScaleSheetLayoutView="96" workbookViewId="0">
      <selection activeCell="B25" sqref="B25"/>
    </sheetView>
  </sheetViews>
  <sheetFormatPr defaultColWidth="31" defaultRowHeight="15.75" x14ac:dyDescent="0.25"/>
  <cols>
    <col min="1" max="1" width="26.42578125" style="4" customWidth="1"/>
    <col min="2" max="2" width="29.5703125" style="4" customWidth="1"/>
    <col min="3" max="4" width="17.5703125" style="201" customWidth="1"/>
    <col min="5" max="16384" width="31" style="2"/>
  </cols>
  <sheetData>
    <row r="1" spans="1:4" x14ac:dyDescent="0.25">
      <c r="B1" s="230" t="s">
        <v>439</v>
      </c>
      <c r="C1" s="230"/>
      <c r="D1" s="230"/>
    </row>
    <row r="2" spans="1:4" x14ac:dyDescent="0.25">
      <c r="B2" s="230" t="s">
        <v>38</v>
      </c>
      <c r="C2" s="230"/>
      <c r="D2" s="230"/>
    </row>
    <row r="3" spans="1:4" x14ac:dyDescent="0.25">
      <c r="B3" s="230" t="s">
        <v>436</v>
      </c>
      <c r="C3" s="230"/>
      <c r="D3" s="230"/>
    </row>
    <row r="4" spans="1:4" x14ac:dyDescent="0.25">
      <c r="B4" s="230" t="s">
        <v>440</v>
      </c>
      <c r="C4" s="230"/>
      <c r="D4" s="230"/>
    </row>
    <row r="5" spans="1:4" x14ac:dyDescent="0.25">
      <c r="B5" s="230" t="s">
        <v>437</v>
      </c>
      <c r="C5" s="230"/>
      <c r="D5" s="230"/>
    </row>
    <row r="6" spans="1:4" x14ac:dyDescent="0.25">
      <c r="B6" s="230" t="s">
        <v>441</v>
      </c>
      <c r="C6" s="230"/>
      <c r="D6" s="230"/>
    </row>
    <row r="7" spans="1:4" x14ac:dyDescent="0.25">
      <c r="B7" s="230" t="s">
        <v>504</v>
      </c>
      <c r="C7" s="230"/>
      <c r="D7" s="230"/>
    </row>
    <row r="10" spans="1:4" x14ac:dyDescent="0.25">
      <c r="A10" s="5"/>
      <c r="B10" s="228" t="s">
        <v>439</v>
      </c>
      <c r="C10" s="228"/>
      <c r="D10" s="228"/>
    </row>
    <row r="11" spans="1:4" x14ac:dyDescent="0.25">
      <c r="A11" s="5"/>
      <c r="B11" s="228" t="s">
        <v>38</v>
      </c>
      <c r="C11" s="228"/>
      <c r="D11" s="228"/>
    </row>
    <row r="12" spans="1:4" x14ac:dyDescent="0.25">
      <c r="A12" s="5"/>
      <c r="B12" s="228" t="s">
        <v>40</v>
      </c>
      <c r="C12" s="228"/>
      <c r="D12" s="228"/>
    </row>
    <row r="13" spans="1:4" x14ac:dyDescent="0.25">
      <c r="A13" s="5"/>
      <c r="B13" s="228" t="s">
        <v>41</v>
      </c>
      <c r="C13" s="228"/>
      <c r="D13" s="228"/>
    </row>
    <row r="14" spans="1:4" x14ac:dyDescent="0.25">
      <c r="A14" s="5"/>
      <c r="B14" s="228" t="s">
        <v>419</v>
      </c>
      <c r="C14" s="228"/>
      <c r="D14" s="228"/>
    </row>
    <row r="15" spans="1:4" x14ac:dyDescent="0.25">
      <c r="A15" s="5"/>
      <c r="B15" s="228" t="s">
        <v>435</v>
      </c>
      <c r="C15" s="228"/>
      <c r="D15" s="228"/>
    </row>
    <row r="16" spans="1:4" x14ac:dyDescent="0.25">
      <c r="A16" s="5"/>
      <c r="C16" s="230"/>
      <c r="D16" s="230"/>
    </row>
    <row r="17" spans="1:4" x14ac:dyDescent="0.25">
      <c r="A17" s="5"/>
      <c r="B17" s="5"/>
    </row>
    <row r="18" spans="1:4" ht="17.649999999999999" customHeight="1" x14ac:dyDescent="0.25">
      <c r="A18" s="229" t="s">
        <v>498</v>
      </c>
      <c r="B18" s="229"/>
      <c r="C18" s="229"/>
      <c r="D18" s="229"/>
    </row>
    <row r="19" spans="1:4" ht="17.649999999999999" customHeight="1" x14ac:dyDescent="0.25">
      <c r="A19" s="229" t="s">
        <v>499</v>
      </c>
      <c r="B19" s="229"/>
      <c r="C19" s="229"/>
      <c r="D19" s="229"/>
    </row>
    <row r="20" spans="1:4" ht="17.649999999999999" customHeight="1" x14ac:dyDescent="0.25">
      <c r="A20" s="229" t="s">
        <v>2</v>
      </c>
      <c r="B20" s="229"/>
      <c r="C20" s="229"/>
      <c r="D20" s="229"/>
    </row>
    <row r="21" spans="1:4" ht="17.649999999999999" customHeight="1" x14ac:dyDescent="0.25">
      <c r="A21" s="227" t="s">
        <v>500</v>
      </c>
      <c r="B21" s="227"/>
      <c r="C21" s="227"/>
      <c r="D21" s="227"/>
    </row>
    <row r="22" spans="1:4" x14ac:dyDescent="0.25">
      <c r="A22" s="5" t="s">
        <v>22</v>
      </c>
      <c r="B22" s="5"/>
    </row>
    <row r="23" spans="1:4" x14ac:dyDescent="0.25">
      <c r="A23" s="204"/>
      <c r="B23" s="7"/>
      <c r="D23" s="8" t="s">
        <v>37</v>
      </c>
    </row>
    <row r="24" spans="1:4" s="12" customFormat="1" ht="50.65" customHeight="1" x14ac:dyDescent="0.2">
      <c r="A24" s="205" t="s">
        <v>1</v>
      </c>
      <c r="B24" s="10" t="s">
        <v>501</v>
      </c>
      <c r="C24" s="206" t="s">
        <v>397</v>
      </c>
      <c r="D24" s="206" t="s">
        <v>420</v>
      </c>
    </row>
    <row r="25" spans="1:4" ht="47.25" x14ac:dyDescent="0.25">
      <c r="A25" s="13" t="s">
        <v>10</v>
      </c>
      <c r="B25" s="117" t="s">
        <v>4</v>
      </c>
      <c r="C25" s="16">
        <f>C26+C28+C30+C33+C36+C40+C42</f>
        <v>163030649.62</v>
      </c>
      <c r="D25" s="16">
        <f>D26+D28+D30+D33+D36+D40+D42</f>
        <v>169866968.17000002</v>
      </c>
    </row>
    <row r="26" spans="1:4" ht="31.5" x14ac:dyDescent="0.25">
      <c r="A26" s="13" t="s">
        <v>11</v>
      </c>
      <c r="B26" s="117" t="s">
        <v>5</v>
      </c>
      <c r="C26" s="16">
        <f>C27</f>
        <v>81579913.329999998</v>
      </c>
      <c r="D26" s="16">
        <f>D27</f>
        <v>88282477.939999998</v>
      </c>
    </row>
    <row r="27" spans="1:4" ht="31.5" x14ac:dyDescent="0.25">
      <c r="A27" s="13" t="s">
        <v>12</v>
      </c>
      <c r="B27" s="117" t="s">
        <v>6</v>
      </c>
      <c r="C27" s="16">
        <v>81579913.329999998</v>
      </c>
      <c r="D27" s="16">
        <v>88282477.939999998</v>
      </c>
    </row>
    <row r="28" spans="1:4" ht="31.5" hidden="1" x14ac:dyDescent="0.25">
      <c r="A28" s="13" t="s">
        <v>13</v>
      </c>
      <c r="B28" s="117" t="s">
        <v>7</v>
      </c>
      <c r="C28" s="16">
        <f>C29</f>
        <v>0</v>
      </c>
      <c r="D28" s="16">
        <f>D29</f>
        <v>0</v>
      </c>
    </row>
    <row r="29" spans="1:4" ht="126" hidden="1" x14ac:dyDescent="0.25">
      <c r="A29" s="13" t="s">
        <v>43</v>
      </c>
      <c r="B29" s="117" t="s">
        <v>44</v>
      </c>
      <c r="C29" s="16">
        <v>0</v>
      </c>
      <c r="D29" s="16">
        <v>0</v>
      </c>
    </row>
    <row r="30" spans="1:4" ht="31.5" x14ac:dyDescent="0.25">
      <c r="A30" s="13" t="s">
        <v>14</v>
      </c>
      <c r="B30" s="117" t="s">
        <v>8</v>
      </c>
      <c r="C30" s="16">
        <f>SUM(C31:C32)</f>
        <v>61041530</v>
      </c>
      <c r="D30" s="16">
        <f>SUM(D31:D32)</f>
        <v>61209200</v>
      </c>
    </row>
    <row r="31" spans="1:4" ht="31.5" x14ac:dyDescent="0.25">
      <c r="A31" s="20" t="s">
        <v>51</v>
      </c>
      <c r="B31" s="21" t="s">
        <v>52</v>
      </c>
      <c r="C31" s="16">
        <v>3150330</v>
      </c>
      <c r="D31" s="16">
        <v>3235620</v>
      </c>
    </row>
    <row r="32" spans="1:4" ht="31.5" x14ac:dyDescent="0.25">
      <c r="A32" s="13" t="s">
        <v>45</v>
      </c>
      <c r="B32" s="117" t="s">
        <v>46</v>
      </c>
      <c r="C32" s="16">
        <v>57891200</v>
      </c>
      <c r="D32" s="16">
        <v>57973580</v>
      </c>
    </row>
    <row r="33" spans="1:4" ht="110.25" x14ac:dyDescent="0.25">
      <c r="A33" s="13" t="s">
        <v>15</v>
      </c>
      <c r="B33" s="117" t="s">
        <v>9</v>
      </c>
      <c r="C33" s="16">
        <f>SUM(C34:C35)</f>
        <v>19191885.43</v>
      </c>
      <c r="D33" s="16">
        <f>SUM(D34:D35)</f>
        <v>19170479.370000001</v>
      </c>
    </row>
    <row r="34" spans="1:4" ht="220.5" x14ac:dyDescent="0.25">
      <c r="A34" s="13" t="s">
        <v>16</v>
      </c>
      <c r="B34" s="117" t="s">
        <v>3</v>
      </c>
      <c r="C34" s="16">
        <v>18478350.300000001</v>
      </c>
      <c r="D34" s="16">
        <v>18478350.300000001</v>
      </c>
    </row>
    <row r="35" spans="1:4" ht="220.5" x14ac:dyDescent="0.25">
      <c r="A35" s="13" t="s">
        <v>33</v>
      </c>
      <c r="B35" s="117" t="s">
        <v>19</v>
      </c>
      <c r="C35" s="16">
        <v>713535.13</v>
      </c>
      <c r="D35" s="16">
        <v>692129.07</v>
      </c>
    </row>
    <row r="36" spans="1:4" ht="63" x14ac:dyDescent="0.25">
      <c r="A36" s="13" t="s">
        <v>17</v>
      </c>
      <c r="B36" s="117" t="s">
        <v>0</v>
      </c>
      <c r="C36" s="16">
        <f>C37</f>
        <v>56238.979999999996</v>
      </c>
      <c r="D36" s="16">
        <f>D37</f>
        <v>43728.979999999996</v>
      </c>
    </row>
    <row r="37" spans="1:4" ht="94.5" x14ac:dyDescent="0.25">
      <c r="A37" s="13" t="s">
        <v>18</v>
      </c>
      <c r="B37" s="117" t="s">
        <v>34</v>
      </c>
      <c r="C37" s="16">
        <f>SUM(C38:C39)</f>
        <v>56238.979999999996</v>
      </c>
      <c r="D37" s="16">
        <f>SUM(D38:D39)</f>
        <v>43728.979999999996</v>
      </c>
    </row>
    <row r="38" spans="1:4" ht="110.25" x14ac:dyDescent="0.25">
      <c r="A38" s="13" t="s">
        <v>431</v>
      </c>
      <c r="B38" s="117" t="s">
        <v>432</v>
      </c>
      <c r="C38" s="16">
        <v>30000</v>
      </c>
      <c r="D38" s="16">
        <v>30000</v>
      </c>
    </row>
    <row r="39" spans="1:4" ht="204.75" x14ac:dyDescent="0.25">
      <c r="A39" s="13" t="s">
        <v>433</v>
      </c>
      <c r="B39" s="117" t="s">
        <v>434</v>
      </c>
      <c r="C39" s="16">
        <f>125100-98861.02</f>
        <v>26238.979999999996</v>
      </c>
      <c r="D39" s="16">
        <f>112590-98861.02</f>
        <v>13728.979999999996</v>
      </c>
    </row>
    <row r="40" spans="1:4" ht="31.5" x14ac:dyDescent="0.25">
      <c r="A40" s="13" t="s">
        <v>505</v>
      </c>
      <c r="B40" s="117" t="s">
        <v>506</v>
      </c>
      <c r="C40" s="16">
        <f>C41</f>
        <v>98861.02</v>
      </c>
      <c r="D40" s="16">
        <f>D41</f>
        <v>98861.02</v>
      </c>
    </row>
    <row r="41" spans="1:4" ht="94.5" x14ac:dyDescent="0.25">
      <c r="A41" s="13" t="s">
        <v>507</v>
      </c>
      <c r="B41" s="117" t="s">
        <v>508</v>
      </c>
      <c r="C41" s="16">
        <v>98861.02</v>
      </c>
      <c r="D41" s="16">
        <v>98861.02</v>
      </c>
    </row>
    <row r="42" spans="1:4" ht="31.5" x14ac:dyDescent="0.25">
      <c r="A42" s="13" t="s">
        <v>47</v>
      </c>
      <c r="B42" s="117" t="s">
        <v>48</v>
      </c>
      <c r="C42" s="16">
        <f>C43</f>
        <v>1062220.8600000001</v>
      </c>
      <c r="D42" s="16">
        <f>D43</f>
        <v>1062220.8600000001</v>
      </c>
    </row>
    <row r="43" spans="1:4" ht="31.5" x14ac:dyDescent="0.25">
      <c r="A43" s="13" t="s">
        <v>49</v>
      </c>
      <c r="B43" s="117" t="s">
        <v>50</v>
      </c>
      <c r="C43" s="16">
        <v>1062220.8600000001</v>
      </c>
      <c r="D43" s="16">
        <v>1062220.8600000001</v>
      </c>
    </row>
    <row r="44" spans="1:4" ht="31.5" x14ac:dyDescent="0.25">
      <c r="A44" s="13" t="s">
        <v>28</v>
      </c>
      <c r="B44" s="117" t="s">
        <v>29</v>
      </c>
      <c r="C44" s="16">
        <f>C45</f>
        <v>1986317.26</v>
      </c>
      <c r="D44" s="16">
        <f>D45</f>
        <v>2099153.9</v>
      </c>
    </row>
    <row r="45" spans="1:4" ht="94.5" x14ac:dyDescent="0.25">
      <c r="A45" s="13" t="s">
        <v>30</v>
      </c>
      <c r="B45" s="117" t="s">
        <v>31</v>
      </c>
      <c r="C45" s="16">
        <f>C46+C47+C48+C49</f>
        <v>1986317.26</v>
      </c>
      <c r="D45" s="16">
        <f>D46+D47+D48+D49</f>
        <v>2099153.9</v>
      </c>
    </row>
    <row r="46" spans="1:4" ht="47.25" hidden="1" x14ac:dyDescent="0.25">
      <c r="A46" s="13" t="s">
        <v>35</v>
      </c>
      <c r="B46" s="117" t="s">
        <v>36</v>
      </c>
      <c r="C46" s="16"/>
      <c r="D46" s="16"/>
    </row>
    <row r="47" spans="1:4" ht="63" hidden="1" x14ac:dyDescent="0.25">
      <c r="A47" s="13" t="s">
        <v>24</v>
      </c>
      <c r="B47" s="117" t="s">
        <v>20</v>
      </c>
      <c r="C47" s="16"/>
      <c r="D47" s="16"/>
    </row>
    <row r="48" spans="1:4" ht="47.25" x14ac:dyDescent="0.25">
      <c r="A48" s="13" t="s">
        <v>25</v>
      </c>
      <c r="B48" s="117" t="s">
        <v>23</v>
      </c>
      <c r="C48" s="16">
        <f>597585.42-233428.44</f>
        <v>364156.98000000004</v>
      </c>
      <c r="D48" s="16">
        <f>616206.33-241408.86</f>
        <v>374797.47</v>
      </c>
    </row>
    <row r="49" spans="1:4" ht="31.5" x14ac:dyDescent="0.25">
      <c r="A49" s="13" t="s">
        <v>26</v>
      </c>
      <c r="B49" s="117" t="s">
        <v>21</v>
      </c>
      <c r="C49" s="16">
        <v>1622160.28</v>
      </c>
      <c r="D49" s="16">
        <v>1724356.43</v>
      </c>
    </row>
    <row r="50" spans="1:4" ht="47.25" hidden="1" x14ac:dyDescent="0.25">
      <c r="A50" s="13" t="s">
        <v>502</v>
      </c>
      <c r="B50" s="117" t="s">
        <v>503</v>
      </c>
      <c r="C50" s="16"/>
      <c r="D50" s="16"/>
    </row>
    <row r="51" spans="1:4" x14ac:dyDescent="0.25">
      <c r="A51" s="17"/>
      <c r="B51" s="207" t="s">
        <v>27</v>
      </c>
      <c r="C51" s="19">
        <f>C25+C44</f>
        <v>165016966.88</v>
      </c>
      <c r="D51" s="19">
        <f>D25+D44</f>
        <v>171966122.07000002</v>
      </c>
    </row>
  </sheetData>
  <sheetProtection formatCells="0" formatColumns="0" formatRows="0" deleteColumns="0" deleteRows="0"/>
  <mergeCells count="18">
    <mergeCell ref="B1:D1"/>
    <mergeCell ref="B2:D2"/>
    <mergeCell ref="B3:D3"/>
    <mergeCell ref="B4:D4"/>
    <mergeCell ref="B5:D5"/>
    <mergeCell ref="B6:D6"/>
    <mergeCell ref="B7:D7"/>
    <mergeCell ref="C16:D16"/>
    <mergeCell ref="A18:D18"/>
    <mergeCell ref="A19:D19"/>
    <mergeCell ref="A20:D20"/>
    <mergeCell ref="A21:D21"/>
    <mergeCell ref="B10:D10"/>
    <mergeCell ref="B11:D11"/>
    <mergeCell ref="B12:D12"/>
    <mergeCell ref="B13:D13"/>
    <mergeCell ref="B14:D14"/>
    <mergeCell ref="B15:D15"/>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C63"/>
  <sheetViews>
    <sheetView view="pageBreakPreview" topLeftCell="A57" zoomScaleNormal="80" zoomScaleSheetLayoutView="100" workbookViewId="0">
      <selection activeCell="B58" sqref="B58"/>
    </sheetView>
  </sheetViews>
  <sheetFormatPr defaultColWidth="31" defaultRowHeight="15.75" x14ac:dyDescent="0.25"/>
  <cols>
    <col min="1" max="1" width="6" style="1" customWidth="1"/>
    <col min="2" max="2" width="116.42578125" style="4" customWidth="1"/>
    <col min="3" max="3" width="15" style="125" customWidth="1"/>
    <col min="4" max="16384" width="31" style="2"/>
  </cols>
  <sheetData>
    <row r="1" spans="1:3" x14ac:dyDescent="0.25">
      <c r="B1" s="230" t="s">
        <v>438</v>
      </c>
      <c r="C1" s="230"/>
    </row>
    <row r="2" spans="1:3" x14ac:dyDescent="0.25">
      <c r="B2" s="230" t="s">
        <v>38</v>
      </c>
      <c r="C2" s="230"/>
    </row>
    <row r="3" spans="1:3" x14ac:dyDescent="0.25">
      <c r="B3" s="230" t="s">
        <v>436</v>
      </c>
      <c r="C3" s="230"/>
    </row>
    <row r="4" spans="1:3" x14ac:dyDescent="0.25">
      <c r="B4" s="230" t="s">
        <v>440</v>
      </c>
      <c r="C4" s="230"/>
    </row>
    <row r="5" spans="1:3" x14ac:dyDescent="0.25">
      <c r="B5" s="230" t="s">
        <v>437</v>
      </c>
      <c r="C5" s="230"/>
    </row>
    <row r="6" spans="1:3" x14ac:dyDescent="0.25">
      <c r="B6" s="230" t="s">
        <v>441</v>
      </c>
      <c r="C6" s="230"/>
    </row>
    <row r="7" spans="1:3" x14ac:dyDescent="0.25">
      <c r="B7" s="230" t="s">
        <v>504</v>
      </c>
      <c r="C7" s="230"/>
    </row>
    <row r="9" spans="1:3" x14ac:dyDescent="0.25">
      <c r="A9" s="3"/>
      <c r="B9" s="228" t="s">
        <v>438</v>
      </c>
      <c r="C9" s="228"/>
    </row>
    <row r="10" spans="1:3" x14ac:dyDescent="0.25">
      <c r="A10" s="3"/>
      <c r="B10" s="228" t="s">
        <v>38</v>
      </c>
      <c r="C10" s="228"/>
    </row>
    <row r="11" spans="1:3" x14ac:dyDescent="0.25">
      <c r="A11" s="3"/>
      <c r="B11" s="228" t="s">
        <v>40</v>
      </c>
      <c r="C11" s="228"/>
    </row>
    <row r="12" spans="1:3" x14ac:dyDescent="0.25">
      <c r="A12" s="3"/>
      <c r="B12" s="228" t="s">
        <v>41</v>
      </c>
      <c r="C12" s="228"/>
    </row>
    <row r="13" spans="1:3" x14ac:dyDescent="0.25">
      <c r="A13" s="3"/>
      <c r="B13" s="228" t="s">
        <v>419</v>
      </c>
      <c r="C13" s="228"/>
    </row>
    <row r="14" spans="1:3" x14ac:dyDescent="0.25">
      <c r="A14" s="3"/>
      <c r="B14" s="228" t="s">
        <v>435</v>
      </c>
      <c r="C14" s="228"/>
    </row>
    <row r="15" spans="1:3" x14ac:dyDescent="0.25">
      <c r="A15" s="3"/>
    </row>
    <row r="16" spans="1:3" x14ac:dyDescent="0.25">
      <c r="A16" s="3"/>
      <c r="C16" s="125" t="s">
        <v>454</v>
      </c>
    </row>
    <row r="17" spans="1:3" ht="57.75" customHeight="1" x14ac:dyDescent="0.25">
      <c r="A17" s="229" t="s">
        <v>479</v>
      </c>
      <c r="B17" s="229"/>
      <c r="C17" s="229"/>
    </row>
    <row r="18" spans="1:3" ht="12.75" customHeight="1" x14ac:dyDescent="0.25">
      <c r="A18" s="229"/>
      <c r="B18" s="229"/>
      <c r="C18" s="229"/>
    </row>
    <row r="19" spans="1:3" x14ac:dyDescent="0.25">
      <c r="A19" s="3" t="s">
        <v>22</v>
      </c>
      <c r="B19" s="5"/>
      <c r="C19" s="128" t="s">
        <v>37</v>
      </c>
    </row>
    <row r="20" spans="1:3" ht="31.5" x14ac:dyDescent="0.25">
      <c r="A20" s="129"/>
      <c r="B20" s="130" t="s">
        <v>455</v>
      </c>
      <c r="C20" s="131" t="s">
        <v>480</v>
      </c>
    </row>
    <row r="21" spans="1:3" x14ac:dyDescent="0.25">
      <c r="A21" s="132">
        <v>1</v>
      </c>
      <c r="B21" s="133" t="s">
        <v>456</v>
      </c>
      <c r="C21" s="134">
        <f>'Прил 6'!J54</f>
        <v>522600</v>
      </c>
    </row>
    <row r="22" spans="1:3" ht="31.5" x14ac:dyDescent="0.25">
      <c r="A22" s="132">
        <v>2</v>
      </c>
      <c r="B22" s="133" t="s">
        <v>457</v>
      </c>
      <c r="C22" s="134">
        <f>'Прил 6'!J49</f>
        <v>193200</v>
      </c>
    </row>
    <row r="23" spans="1:3" ht="267.75" x14ac:dyDescent="0.25">
      <c r="A23" s="132">
        <v>3</v>
      </c>
      <c r="B23" s="133" t="s">
        <v>458</v>
      </c>
      <c r="C23" s="134">
        <f>'Прил 6'!J43</f>
        <v>426300</v>
      </c>
    </row>
    <row r="24" spans="1:3" ht="31.5" x14ac:dyDescent="0.25">
      <c r="A24" s="132">
        <v>4</v>
      </c>
      <c r="B24" s="133" t="s">
        <v>459</v>
      </c>
      <c r="C24" s="134">
        <f>'Прил 6'!J171</f>
        <v>34100</v>
      </c>
    </row>
    <row r="25" spans="1:3" ht="31.5" x14ac:dyDescent="0.25">
      <c r="A25" s="132">
        <v>5</v>
      </c>
      <c r="B25" s="133" t="s">
        <v>460</v>
      </c>
      <c r="C25" s="134">
        <f>'Прил 6'!J47</f>
        <v>116300</v>
      </c>
    </row>
    <row r="26" spans="1:3" x14ac:dyDescent="0.25">
      <c r="A26" s="132">
        <v>6</v>
      </c>
      <c r="B26" s="133" t="s">
        <v>461</v>
      </c>
      <c r="C26" s="134">
        <f>'Прил 6'!J45</f>
        <v>135100</v>
      </c>
    </row>
    <row r="27" spans="1:3" x14ac:dyDescent="0.25">
      <c r="A27" s="132">
        <v>7</v>
      </c>
      <c r="B27" s="133" t="s">
        <v>462</v>
      </c>
      <c r="C27" s="134">
        <f>'Прил 6'!J259</f>
        <v>542500</v>
      </c>
    </row>
    <row r="28" spans="1:3" ht="78.75" x14ac:dyDescent="0.25">
      <c r="A28" s="132">
        <v>8</v>
      </c>
      <c r="B28" s="133" t="s">
        <v>463</v>
      </c>
      <c r="C28" s="134">
        <f>'Прил 6'!J173</f>
        <v>589900</v>
      </c>
    </row>
    <row r="29" spans="1:3" ht="31.5" x14ac:dyDescent="0.25">
      <c r="A29" s="132">
        <v>9</v>
      </c>
      <c r="B29" s="133" t="s">
        <v>464</v>
      </c>
      <c r="C29" s="134">
        <f>'Прил 6'!J255</f>
        <v>1428.6799999999998</v>
      </c>
    </row>
    <row r="30" spans="1:3" x14ac:dyDescent="0.25">
      <c r="A30" s="129"/>
      <c r="B30" s="135" t="s">
        <v>465</v>
      </c>
      <c r="C30" s="136">
        <f>SUM(C21:C29)</f>
        <v>2561428.6800000002</v>
      </c>
    </row>
    <row r="31" spans="1:3" ht="21.75" customHeight="1" x14ac:dyDescent="0.25">
      <c r="A31" s="137"/>
      <c r="B31" s="137"/>
      <c r="C31" s="138"/>
    </row>
    <row r="32" spans="1:3" ht="66" customHeight="1" x14ac:dyDescent="0.25">
      <c r="A32" s="231" t="s">
        <v>466</v>
      </c>
      <c r="B32" s="231"/>
      <c r="C32" s="231"/>
    </row>
    <row r="33" spans="1:3" ht="15.75" customHeight="1" x14ac:dyDescent="0.25">
      <c r="A33" s="139"/>
      <c r="B33" s="139"/>
      <c r="C33" s="139"/>
    </row>
    <row r="34" spans="1:3" ht="96" customHeight="1" x14ac:dyDescent="0.25">
      <c r="A34" s="231" t="s">
        <v>467</v>
      </c>
      <c r="B34" s="231"/>
      <c r="C34" s="231"/>
    </row>
    <row r="35" spans="1:3" ht="25.5" customHeight="1" x14ac:dyDescent="0.25">
      <c r="A35" s="140"/>
      <c r="B35" s="140"/>
      <c r="C35" s="140"/>
    </row>
    <row r="36" spans="1:3" ht="277.5" customHeight="1" x14ac:dyDescent="0.25">
      <c r="A36" s="233" t="s">
        <v>468</v>
      </c>
      <c r="B36" s="233"/>
      <c r="C36" s="233"/>
    </row>
    <row r="37" spans="1:3" ht="195.75" customHeight="1" x14ac:dyDescent="0.25">
      <c r="A37" s="234" t="s">
        <v>469</v>
      </c>
      <c r="B37" s="234"/>
      <c r="C37" s="234"/>
    </row>
    <row r="38" spans="1:3" ht="18" customHeight="1" x14ac:dyDescent="0.25">
      <c r="A38" s="141"/>
      <c r="B38" s="141"/>
      <c r="C38" s="141"/>
    </row>
    <row r="39" spans="1:3" ht="64.5" customHeight="1" x14ac:dyDescent="0.25">
      <c r="A39" s="231" t="s">
        <v>470</v>
      </c>
      <c r="B39" s="231"/>
      <c r="C39" s="231"/>
    </row>
    <row r="40" spans="1:3" ht="15.75" customHeight="1" x14ac:dyDescent="0.25">
      <c r="A40" s="141"/>
      <c r="B40" s="141"/>
      <c r="C40" s="141"/>
    </row>
    <row r="41" spans="1:3" ht="80.25" customHeight="1" x14ac:dyDescent="0.25">
      <c r="A41" s="231" t="s">
        <v>471</v>
      </c>
      <c r="B41" s="231"/>
      <c r="C41" s="231"/>
    </row>
    <row r="42" spans="1:3" ht="18" customHeight="1" x14ac:dyDescent="0.25">
      <c r="A42" s="141"/>
      <c r="B42" s="141"/>
      <c r="C42" s="141"/>
    </row>
    <row r="43" spans="1:3" ht="87" customHeight="1" x14ac:dyDescent="0.25">
      <c r="A43" s="231" t="s">
        <v>472</v>
      </c>
      <c r="B43" s="231"/>
      <c r="C43" s="231"/>
    </row>
    <row r="44" spans="1:3" x14ac:dyDescent="0.25">
      <c r="A44" s="137"/>
      <c r="B44" s="137"/>
      <c r="C44" s="138"/>
    </row>
    <row r="45" spans="1:3" ht="54" customHeight="1" x14ac:dyDescent="0.25">
      <c r="A45" s="231" t="s">
        <v>473</v>
      </c>
      <c r="B45" s="231"/>
      <c r="C45" s="231"/>
    </row>
    <row r="46" spans="1:3" x14ac:dyDescent="0.25">
      <c r="A46" s="137"/>
      <c r="B46" s="137"/>
      <c r="C46" s="138"/>
    </row>
    <row r="47" spans="1:3" ht="84.75" customHeight="1" x14ac:dyDescent="0.25">
      <c r="A47" s="231" t="s">
        <v>474</v>
      </c>
      <c r="B47" s="231"/>
      <c r="C47" s="231"/>
    </row>
    <row r="48" spans="1:3" ht="18" customHeight="1" x14ac:dyDescent="0.25">
      <c r="A48" s="137"/>
      <c r="B48" s="137"/>
      <c r="C48" s="138"/>
    </row>
    <row r="49" spans="1:3" ht="45.75" customHeight="1" x14ac:dyDescent="0.25">
      <c r="A49" s="231" t="s">
        <v>475</v>
      </c>
      <c r="B49" s="231"/>
      <c r="C49" s="231"/>
    </row>
    <row r="50" spans="1:3" x14ac:dyDescent="0.25">
      <c r="A50" s="137"/>
      <c r="B50" s="137"/>
      <c r="C50" s="138"/>
    </row>
    <row r="51" spans="1:3" x14ac:dyDescent="0.25">
      <c r="A51" s="137"/>
      <c r="B51" s="137"/>
      <c r="C51" s="142" t="s">
        <v>476</v>
      </c>
    </row>
    <row r="52" spans="1:3" ht="45" customHeight="1" x14ac:dyDescent="0.25">
      <c r="A52" s="232" t="s">
        <v>481</v>
      </c>
      <c r="B52" s="232"/>
      <c r="C52" s="232"/>
    </row>
    <row r="53" spans="1:3" ht="18.75" x14ac:dyDescent="0.25">
      <c r="A53" s="232" t="s">
        <v>418</v>
      </c>
      <c r="B53" s="232"/>
      <c r="C53" s="232"/>
    </row>
    <row r="54" spans="1:3" ht="18.75" x14ac:dyDescent="0.25">
      <c r="A54" s="143"/>
      <c r="B54" s="143"/>
      <c r="C54" s="143"/>
    </row>
    <row r="55" spans="1:3" x14ac:dyDescent="0.25">
      <c r="A55" s="137"/>
      <c r="B55" s="137"/>
      <c r="C55" s="144" t="s">
        <v>37</v>
      </c>
    </row>
    <row r="56" spans="1:3" ht="31.5" x14ac:dyDescent="0.25">
      <c r="A56" s="129"/>
      <c r="B56" s="130" t="s">
        <v>455</v>
      </c>
      <c r="C56" s="131" t="s">
        <v>480</v>
      </c>
    </row>
    <row r="57" spans="1:3" ht="55.5" customHeight="1" x14ac:dyDescent="0.25">
      <c r="A57" s="132">
        <v>1</v>
      </c>
      <c r="B57" s="133" t="s">
        <v>477</v>
      </c>
      <c r="C57" s="134">
        <f>'Прил 6'!J286</f>
        <v>2980800</v>
      </c>
    </row>
    <row r="58" spans="1:3" ht="55.5" customHeight="1" x14ac:dyDescent="0.25">
      <c r="A58" s="132">
        <v>2</v>
      </c>
      <c r="B58" s="133" t="s">
        <v>526</v>
      </c>
      <c r="C58" s="134">
        <f>'Прил 6'!J137</f>
        <v>62090.85</v>
      </c>
    </row>
    <row r="59" spans="1:3" x14ac:dyDescent="0.25">
      <c r="A59" s="129"/>
      <c r="B59" s="135" t="s">
        <v>465</v>
      </c>
      <c r="C59" s="136">
        <f>SUM(C57:C58)</f>
        <v>3042890.85</v>
      </c>
    </row>
    <row r="60" spans="1:3" x14ac:dyDescent="0.25">
      <c r="A60" s="137"/>
      <c r="B60" s="137"/>
      <c r="C60" s="138"/>
    </row>
    <row r="61" spans="1:3" ht="200.25" customHeight="1" x14ac:dyDescent="0.25">
      <c r="A61" s="231" t="s">
        <v>478</v>
      </c>
      <c r="B61" s="231"/>
      <c r="C61" s="231"/>
    </row>
    <row r="63" spans="1:3" ht="193.5" customHeight="1" x14ac:dyDescent="0.25">
      <c r="A63" s="231" t="s">
        <v>525</v>
      </c>
      <c r="B63" s="231"/>
      <c r="C63" s="231"/>
    </row>
  </sheetData>
  <sheetProtection formatCells="0" formatColumns="0" formatRows="0" deleteColumns="0" deleteRows="0"/>
  <mergeCells count="29">
    <mergeCell ref="B14:C14"/>
    <mergeCell ref="B9:C9"/>
    <mergeCell ref="B10:C10"/>
    <mergeCell ref="B11:C11"/>
    <mergeCell ref="B12:C12"/>
    <mergeCell ref="B13:C13"/>
    <mergeCell ref="A49:C49"/>
    <mergeCell ref="A17:C17"/>
    <mergeCell ref="A18:C18"/>
    <mergeCell ref="A32:C32"/>
    <mergeCell ref="A34:C34"/>
    <mergeCell ref="A36:C36"/>
    <mergeCell ref="A37:C37"/>
    <mergeCell ref="A63:C63"/>
    <mergeCell ref="A52:C52"/>
    <mergeCell ref="A53:C53"/>
    <mergeCell ref="A61:C61"/>
    <mergeCell ref="B1:C1"/>
    <mergeCell ref="B2:C2"/>
    <mergeCell ref="B3:C3"/>
    <mergeCell ref="B4:C4"/>
    <mergeCell ref="B5:C5"/>
    <mergeCell ref="B6:C6"/>
    <mergeCell ref="B7:C7"/>
    <mergeCell ref="A39:C39"/>
    <mergeCell ref="A41:C41"/>
    <mergeCell ref="A43:C43"/>
    <mergeCell ref="A45:C45"/>
    <mergeCell ref="A47:C47"/>
  </mergeCells>
  <pageMargins left="0.78740157480314965" right="0.19685039370078741" top="0.39370078740157483" bottom="0.39370078740157483" header="0.19685039370078741" footer="0.19685039370078741"/>
  <pageSetup paperSize="9" fitToHeight="7" orientation="landscape" r:id="rId1"/>
  <headerFooter scaleWithDoc="0">
    <oddHeader>&amp;C&amp;P</oddHeader>
  </headerFooter>
  <rowBreaks count="1" manualBreakCount="1">
    <brk id="50"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I355"/>
  <sheetViews>
    <sheetView view="pageBreakPreview" zoomScaleNormal="100" zoomScaleSheetLayoutView="100" workbookViewId="0">
      <selection activeCell="B10" sqref="B10:I10"/>
    </sheetView>
  </sheetViews>
  <sheetFormatPr defaultColWidth="8.85546875" defaultRowHeight="15.75" x14ac:dyDescent="0.25"/>
  <cols>
    <col min="1" max="1" width="81.140625" style="30" customWidth="1"/>
    <col min="2" max="2" width="5.5703125" style="31" customWidth="1"/>
    <col min="3" max="3" width="5.42578125" style="31" customWidth="1"/>
    <col min="4" max="4" width="6" style="31" customWidth="1"/>
    <col min="5" max="5" width="4.5703125" style="31" customWidth="1"/>
    <col min="6" max="6" width="5.140625" style="31" customWidth="1"/>
    <col min="7" max="7" width="10" style="31" customWidth="1"/>
    <col min="8" max="8" width="8.140625" style="31" customWidth="1"/>
    <col min="9" max="9" width="18.7109375" style="32" customWidth="1"/>
    <col min="10" max="10" width="11.28515625" style="24" bestFit="1" customWidth="1"/>
    <col min="11" max="16384" width="8.85546875" style="24"/>
  </cols>
  <sheetData>
    <row r="1" spans="1:9" x14ac:dyDescent="0.25">
      <c r="B1" s="246" t="s">
        <v>453</v>
      </c>
      <c r="C1" s="246"/>
      <c r="D1" s="246"/>
      <c r="E1" s="246"/>
      <c r="F1" s="246"/>
      <c r="G1" s="246"/>
      <c r="H1" s="246"/>
      <c r="I1" s="246"/>
    </row>
    <row r="2" spans="1:9" x14ac:dyDescent="0.25">
      <c r="B2" s="246" t="s">
        <v>38</v>
      </c>
      <c r="C2" s="246"/>
      <c r="D2" s="246"/>
      <c r="E2" s="246"/>
      <c r="F2" s="246"/>
      <c r="G2" s="246"/>
      <c r="H2" s="246"/>
      <c r="I2" s="246"/>
    </row>
    <row r="3" spans="1:9" x14ac:dyDescent="0.25">
      <c r="B3" s="246" t="s">
        <v>436</v>
      </c>
      <c r="C3" s="246"/>
      <c r="D3" s="246"/>
      <c r="E3" s="246"/>
      <c r="F3" s="246"/>
      <c r="G3" s="246"/>
      <c r="H3" s="246"/>
      <c r="I3" s="246"/>
    </row>
    <row r="4" spans="1:9" x14ac:dyDescent="0.25">
      <c r="B4" s="246" t="s">
        <v>440</v>
      </c>
      <c r="C4" s="246"/>
      <c r="D4" s="246"/>
      <c r="E4" s="246"/>
      <c r="F4" s="246"/>
      <c r="G4" s="246"/>
      <c r="H4" s="246"/>
      <c r="I4" s="246"/>
    </row>
    <row r="5" spans="1:9" x14ac:dyDescent="0.25">
      <c r="B5" s="246" t="s">
        <v>437</v>
      </c>
      <c r="C5" s="246"/>
      <c r="D5" s="246"/>
      <c r="E5" s="246"/>
      <c r="F5" s="246"/>
      <c r="G5" s="246"/>
      <c r="H5" s="246"/>
      <c r="I5" s="246"/>
    </row>
    <row r="6" spans="1:9" x14ac:dyDescent="0.25">
      <c r="B6" s="246" t="s">
        <v>441</v>
      </c>
      <c r="C6" s="246"/>
      <c r="D6" s="246"/>
      <c r="E6" s="246"/>
      <c r="F6" s="246"/>
      <c r="G6" s="246"/>
      <c r="H6" s="246"/>
      <c r="I6" s="246"/>
    </row>
    <row r="7" spans="1:9" x14ac:dyDescent="0.25">
      <c r="B7" s="246" t="s">
        <v>504</v>
      </c>
      <c r="C7" s="246"/>
      <c r="D7" s="246"/>
      <c r="E7" s="246"/>
      <c r="F7" s="246"/>
      <c r="G7" s="246"/>
      <c r="H7" s="246"/>
      <c r="I7" s="246"/>
    </row>
    <row r="9" spans="1:9" x14ac:dyDescent="0.25">
      <c r="A9" s="22"/>
      <c r="B9" s="244" t="s">
        <v>416</v>
      </c>
      <c r="C9" s="244"/>
      <c r="D9" s="244"/>
      <c r="E9" s="244"/>
      <c r="F9" s="244"/>
      <c r="G9" s="244"/>
      <c r="H9" s="244"/>
      <c r="I9" s="244"/>
    </row>
    <row r="10" spans="1:9" x14ac:dyDescent="0.25">
      <c r="A10" s="22"/>
      <c r="B10" s="245" t="s">
        <v>38</v>
      </c>
      <c r="C10" s="245"/>
      <c r="D10" s="245"/>
      <c r="E10" s="245"/>
      <c r="F10" s="245"/>
      <c r="G10" s="245"/>
      <c r="H10" s="245"/>
      <c r="I10" s="245"/>
    </row>
    <row r="11" spans="1:9" x14ac:dyDescent="0.25">
      <c r="A11" s="22"/>
      <c r="B11" s="244" t="s">
        <v>40</v>
      </c>
      <c r="C11" s="244"/>
      <c r="D11" s="244"/>
      <c r="E11" s="244"/>
      <c r="F11" s="244"/>
      <c r="G11" s="244"/>
      <c r="H11" s="244"/>
      <c r="I11" s="244"/>
    </row>
    <row r="12" spans="1:9" x14ac:dyDescent="0.25">
      <c r="A12" s="22"/>
      <c r="B12" s="244" t="s">
        <v>41</v>
      </c>
      <c r="C12" s="244"/>
      <c r="D12" s="244"/>
      <c r="E12" s="244"/>
      <c r="F12" s="244"/>
      <c r="G12" s="244"/>
      <c r="H12" s="244"/>
      <c r="I12" s="244"/>
    </row>
    <row r="13" spans="1:9" x14ac:dyDescent="0.25">
      <c r="A13" s="22"/>
      <c r="B13" s="244" t="s">
        <v>419</v>
      </c>
      <c r="C13" s="244"/>
      <c r="D13" s="244"/>
      <c r="E13" s="244"/>
      <c r="F13" s="244"/>
      <c r="G13" s="244"/>
      <c r="H13" s="244"/>
      <c r="I13" s="244"/>
    </row>
    <row r="14" spans="1:9" x14ac:dyDescent="0.25">
      <c r="A14" s="22"/>
      <c r="B14" s="244" t="s">
        <v>435</v>
      </c>
      <c r="C14" s="244"/>
      <c r="D14" s="244"/>
      <c r="E14" s="244"/>
      <c r="F14" s="244"/>
      <c r="G14" s="244"/>
      <c r="H14" s="244"/>
      <c r="I14" s="244"/>
    </row>
    <row r="15" spans="1:9" x14ac:dyDescent="0.25">
      <c r="A15" s="22"/>
      <c r="B15" s="23"/>
      <c r="C15" s="23"/>
      <c r="D15" s="23"/>
      <c r="E15" s="23"/>
      <c r="F15" s="23"/>
      <c r="G15" s="23"/>
      <c r="H15" s="23"/>
      <c r="I15" s="25"/>
    </row>
    <row r="16" spans="1:9" x14ac:dyDescent="0.25">
      <c r="A16" s="22"/>
      <c r="B16" s="23"/>
      <c r="C16" s="23"/>
      <c r="D16" s="23"/>
      <c r="E16" s="23"/>
      <c r="F16" s="23"/>
      <c r="G16" s="23"/>
      <c r="H16" s="23"/>
      <c r="I16" s="25"/>
    </row>
    <row r="17" spans="1:9" ht="88.5" customHeight="1" x14ac:dyDescent="0.25">
      <c r="A17" s="242" t="s">
        <v>430</v>
      </c>
      <c r="B17" s="242"/>
      <c r="C17" s="242"/>
      <c r="D17" s="242"/>
      <c r="E17" s="242"/>
      <c r="F17" s="242"/>
      <c r="G17" s="242"/>
      <c r="H17" s="242"/>
      <c r="I17" s="242"/>
    </row>
    <row r="18" spans="1:9" x14ac:dyDescent="0.25">
      <c r="A18" s="26"/>
      <c r="B18" s="27"/>
      <c r="C18" s="27"/>
      <c r="D18" s="27"/>
      <c r="E18" s="27"/>
      <c r="F18" s="27"/>
      <c r="G18" s="27"/>
      <c r="H18" s="27"/>
      <c r="I18" s="28"/>
    </row>
    <row r="19" spans="1:9" x14ac:dyDescent="0.25">
      <c r="A19" s="243" t="s">
        <v>37</v>
      </c>
      <c r="B19" s="243"/>
      <c r="C19" s="243"/>
      <c r="D19" s="243"/>
      <c r="E19" s="243"/>
      <c r="F19" s="243"/>
      <c r="G19" s="243"/>
      <c r="H19" s="243"/>
      <c r="I19" s="243"/>
    </row>
    <row r="20" spans="1:9" x14ac:dyDescent="0.25">
      <c r="A20" s="237" t="s">
        <v>59</v>
      </c>
      <c r="B20" s="239" t="s">
        <v>1</v>
      </c>
      <c r="C20" s="240"/>
      <c r="D20" s="240"/>
      <c r="E20" s="240"/>
      <c r="F20" s="240"/>
      <c r="G20" s="240"/>
      <c r="H20" s="241"/>
      <c r="I20" s="237" t="s">
        <v>53</v>
      </c>
    </row>
    <row r="21" spans="1:9" ht="110.25" x14ac:dyDescent="0.25">
      <c r="A21" s="238"/>
      <c r="B21" s="105" t="s">
        <v>60</v>
      </c>
      <c r="C21" s="105" t="s">
        <v>61</v>
      </c>
      <c r="D21" s="239" t="s">
        <v>62</v>
      </c>
      <c r="E21" s="240"/>
      <c r="F21" s="240"/>
      <c r="G21" s="241"/>
      <c r="H21" s="105" t="s">
        <v>63</v>
      </c>
      <c r="I21" s="238"/>
    </row>
    <row r="22" spans="1:9" x14ac:dyDescent="0.25">
      <c r="A22" s="37" t="s">
        <v>64</v>
      </c>
      <c r="B22" s="38">
        <v>1</v>
      </c>
      <c r="C22" s="38"/>
      <c r="D22" s="39"/>
      <c r="E22" s="40"/>
      <c r="F22" s="41"/>
      <c r="G22" s="42"/>
      <c r="H22" s="40"/>
      <c r="I22" s="95">
        <f>I23+I31+I56+I61+I65+I70</f>
        <v>36194443.770000003</v>
      </c>
    </row>
    <row r="23" spans="1:9" ht="47.25" x14ac:dyDescent="0.25">
      <c r="A23" s="43" t="s">
        <v>71</v>
      </c>
      <c r="B23" s="101" t="s">
        <v>65</v>
      </c>
      <c r="C23" s="101" t="s">
        <v>72</v>
      </c>
      <c r="D23" s="101" t="s">
        <v>134</v>
      </c>
      <c r="E23" s="102"/>
      <c r="F23" s="101"/>
      <c r="G23" s="101"/>
      <c r="H23" s="102" t="s">
        <v>135</v>
      </c>
      <c r="I23" s="96">
        <f>I24</f>
        <v>1354385.32</v>
      </c>
    </row>
    <row r="24" spans="1:9" x14ac:dyDescent="0.25">
      <c r="A24" s="44" t="s">
        <v>136</v>
      </c>
      <c r="B24" s="101" t="s">
        <v>65</v>
      </c>
      <c r="C24" s="101" t="s">
        <v>72</v>
      </c>
      <c r="D24" s="101">
        <v>91</v>
      </c>
      <c r="E24" s="102">
        <v>0</v>
      </c>
      <c r="F24" s="101" t="s">
        <v>67</v>
      </c>
      <c r="G24" s="101" t="s">
        <v>69</v>
      </c>
      <c r="H24" s="102" t="s">
        <v>135</v>
      </c>
      <c r="I24" s="96">
        <f>I25</f>
        <v>1354385.32</v>
      </c>
    </row>
    <row r="25" spans="1:9" ht="31.5" x14ac:dyDescent="0.25">
      <c r="A25" s="44" t="s">
        <v>137</v>
      </c>
      <c r="B25" s="101" t="s">
        <v>65</v>
      </c>
      <c r="C25" s="101" t="s">
        <v>72</v>
      </c>
      <c r="D25" s="101">
        <v>91</v>
      </c>
      <c r="E25" s="102">
        <v>1</v>
      </c>
      <c r="F25" s="101" t="s">
        <v>68</v>
      </c>
      <c r="G25" s="101" t="s">
        <v>69</v>
      </c>
      <c r="H25" s="102"/>
      <c r="I25" s="96">
        <f>I26</f>
        <v>1354385.32</v>
      </c>
    </row>
    <row r="26" spans="1:9" ht="47.25" x14ac:dyDescent="0.25">
      <c r="A26" s="44" t="s">
        <v>138</v>
      </c>
      <c r="B26" s="101" t="s">
        <v>65</v>
      </c>
      <c r="C26" s="101" t="s">
        <v>72</v>
      </c>
      <c r="D26" s="101">
        <v>91</v>
      </c>
      <c r="E26" s="102">
        <v>1</v>
      </c>
      <c r="F26" s="101" t="s">
        <v>68</v>
      </c>
      <c r="G26" s="101" t="s">
        <v>139</v>
      </c>
      <c r="H26" s="102"/>
      <c r="I26" s="96">
        <f>I27+I28</f>
        <v>1354385.32</v>
      </c>
    </row>
    <row r="27" spans="1:9" x14ac:dyDescent="0.25">
      <c r="A27" s="44" t="s">
        <v>140</v>
      </c>
      <c r="B27" s="101" t="s">
        <v>65</v>
      </c>
      <c r="C27" s="101" t="s">
        <v>72</v>
      </c>
      <c r="D27" s="101">
        <v>91</v>
      </c>
      <c r="E27" s="102">
        <v>1</v>
      </c>
      <c r="F27" s="101" t="s">
        <v>68</v>
      </c>
      <c r="G27" s="101" t="s">
        <v>139</v>
      </c>
      <c r="H27" s="102">
        <v>120</v>
      </c>
      <c r="I27" s="97">
        <f>'Прил 6'!J355</f>
        <v>1332385.32</v>
      </c>
    </row>
    <row r="28" spans="1:9" ht="47.25" x14ac:dyDescent="0.25">
      <c r="A28" s="44" t="s">
        <v>141</v>
      </c>
      <c r="B28" s="101" t="s">
        <v>65</v>
      </c>
      <c r="C28" s="101" t="s">
        <v>72</v>
      </c>
      <c r="D28" s="101">
        <v>91</v>
      </c>
      <c r="E28" s="102">
        <v>1</v>
      </c>
      <c r="F28" s="101" t="s">
        <v>68</v>
      </c>
      <c r="G28" s="101" t="s">
        <v>142</v>
      </c>
      <c r="H28" s="102"/>
      <c r="I28" s="97">
        <f>SUM(I29:I30)</f>
        <v>22000</v>
      </c>
    </row>
    <row r="29" spans="1:9" ht="31.5" x14ac:dyDescent="0.25">
      <c r="A29" s="45" t="s">
        <v>75</v>
      </c>
      <c r="B29" s="101" t="s">
        <v>65</v>
      </c>
      <c r="C29" s="101" t="s">
        <v>72</v>
      </c>
      <c r="D29" s="101">
        <v>91</v>
      </c>
      <c r="E29" s="102">
        <v>1</v>
      </c>
      <c r="F29" s="101" t="s">
        <v>68</v>
      </c>
      <c r="G29" s="101" t="s">
        <v>142</v>
      </c>
      <c r="H29" s="102">
        <v>240</v>
      </c>
      <c r="I29" s="97">
        <f>'Прил 6'!J357</f>
        <v>22000</v>
      </c>
    </row>
    <row r="30" spans="1:9" hidden="1" x14ac:dyDescent="0.25">
      <c r="A30" s="45" t="s">
        <v>77</v>
      </c>
      <c r="B30" s="101" t="s">
        <v>65</v>
      </c>
      <c r="C30" s="101" t="s">
        <v>72</v>
      </c>
      <c r="D30" s="101">
        <v>91</v>
      </c>
      <c r="E30" s="102">
        <v>1</v>
      </c>
      <c r="F30" s="101" t="s">
        <v>68</v>
      </c>
      <c r="G30" s="101" t="s">
        <v>142</v>
      </c>
      <c r="H30" s="102">
        <v>850</v>
      </c>
      <c r="I30" s="97"/>
    </row>
    <row r="31" spans="1:9" ht="47.25" x14ac:dyDescent="0.25">
      <c r="A31" s="44" t="s">
        <v>82</v>
      </c>
      <c r="B31" s="101" t="s">
        <v>65</v>
      </c>
      <c r="C31" s="102" t="s">
        <v>83</v>
      </c>
      <c r="D31" s="101" t="s">
        <v>134</v>
      </c>
      <c r="E31" s="102"/>
      <c r="F31" s="101"/>
      <c r="G31" s="101"/>
      <c r="H31" s="102" t="s">
        <v>135</v>
      </c>
      <c r="I31" s="97">
        <f>I32+I45</f>
        <v>14559766.740000002</v>
      </c>
    </row>
    <row r="32" spans="1:9" x14ac:dyDescent="0.25">
      <c r="A32" s="44" t="s">
        <v>146</v>
      </c>
      <c r="B32" s="101" t="s">
        <v>65</v>
      </c>
      <c r="C32" s="102" t="s">
        <v>83</v>
      </c>
      <c r="D32" s="101">
        <v>92</v>
      </c>
      <c r="E32" s="102">
        <v>0</v>
      </c>
      <c r="F32" s="101" t="s">
        <v>68</v>
      </c>
      <c r="G32" s="101" t="s">
        <v>69</v>
      </c>
      <c r="H32" s="102"/>
      <c r="I32" s="97">
        <f>I33+I36</f>
        <v>13688866.740000002</v>
      </c>
    </row>
    <row r="33" spans="1:9" x14ac:dyDescent="0.25">
      <c r="A33" s="46" t="s">
        <v>147</v>
      </c>
      <c r="B33" s="101" t="s">
        <v>65</v>
      </c>
      <c r="C33" s="102" t="s">
        <v>83</v>
      </c>
      <c r="D33" s="101">
        <v>92</v>
      </c>
      <c r="E33" s="102">
        <v>1</v>
      </c>
      <c r="F33" s="101" t="s">
        <v>68</v>
      </c>
      <c r="G33" s="101" t="s">
        <v>69</v>
      </c>
      <c r="H33" s="102"/>
      <c r="I33" s="97">
        <f>I34</f>
        <v>1378787.8</v>
      </c>
    </row>
    <row r="34" spans="1:9" ht="63" x14ac:dyDescent="0.25">
      <c r="A34" s="46" t="s">
        <v>148</v>
      </c>
      <c r="B34" s="101" t="s">
        <v>65</v>
      </c>
      <c r="C34" s="102" t="s">
        <v>83</v>
      </c>
      <c r="D34" s="101">
        <v>92</v>
      </c>
      <c r="E34" s="102">
        <v>1</v>
      </c>
      <c r="F34" s="101" t="s">
        <v>68</v>
      </c>
      <c r="G34" s="101" t="s">
        <v>139</v>
      </c>
      <c r="H34" s="102"/>
      <c r="I34" s="97">
        <f>I35</f>
        <v>1378787.8</v>
      </c>
    </row>
    <row r="35" spans="1:9" x14ac:dyDescent="0.25">
      <c r="A35" s="44" t="s">
        <v>140</v>
      </c>
      <c r="B35" s="101" t="s">
        <v>65</v>
      </c>
      <c r="C35" s="102" t="s">
        <v>83</v>
      </c>
      <c r="D35" s="101">
        <v>92</v>
      </c>
      <c r="E35" s="102">
        <v>1</v>
      </c>
      <c r="F35" s="101" t="s">
        <v>68</v>
      </c>
      <c r="G35" s="101" t="s">
        <v>139</v>
      </c>
      <c r="H35" s="102">
        <v>120</v>
      </c>
      <c r="I35" s="97">
        <f>'Прил 6'!J27</f>
        <v>1378787.8</v>
      </c>
    </row>
    <row r="36" spans="1:9" x14ac:dyDescent="0.25">
      <c r="A36" s="45" t="s">
        <v>149</v>
      </c>
      <c r="B36" s="101" t="s">
        <v>65</v>
      </c>
      <c r="C36" s="102" t="s">
        <v>83</v>
      </c>
      <c r="D36" s="101">
        <v>92</v>
      </c>
      <c r="E36" s="102">
        <v>2</v>
      </c>
      <c r="F36" s="101" t="s">
        <v>68</v>
      </c>
      <c r="G36" s="101" t="s">
        <v>69</v>
      </c>
      <c r="H36" s="102"/>
      <c r="I36" s="97">
        <f>I37+I39+I42</f>
        <v>12310078.940000001</v>
      </c>
    </row>
    <row r="37" spans="1:9" ht="63" x14ac:dyDescent="0.25">
      <c r="A37" s="45" t="s">
        <v>148</v>
      </c>
      <c r="B37" s="101" t="s">
        <v>65</v>
      </c>
      <c r="C37" s="102" t="s">
        <v>83</v>
      </c>
      <c r="D37" s="101">
        <v>92</v>
      </c>
      <c r="E37" s="102">
        <v>2</v>
      </c>
      <c r="F37" s="101" t="s">
        <v>68</v>
      </c>
      <c r="G37" s="101" t="s">
        <v>139</v>
      </c>
      <c r="H37" s="102"/>
      <c r="I37" s="97">
        <f>I38</f>
        <v>10936955.9</v>
      </c>
    </row>
    <row r="38" spans="1:9" x14ac:dyDescent="0.25">
      <c r="A38" s="44" t="s">
        <v>140</v>
      </c>
      <c r="B38" s="101" t="s">
        <v>65</v>
      </c>
      <c r="C38" s="102" t="s">
        <v>83</v>
      </c>
      <c r="D38" s="101">
        <v>92</v>
      </c>
      <c r="E38" s="102">
        <v>2</v>
      </c>
      <c r="F38" s="101" t="s">
        <v>68</v>
      </c>
      <c r="G38" s="101" t="s">
        <v>139</v>
      </c>
      <c r="H38" s="102">
        <v>120</v>
      </c>
      <c r="I38" s="97">
        <f>'Прил 6'!J30</f>
        <v>10936955.9</v>
      </c>
    </row>
    <row r="39" spans="1:9" ht="47.25" x14ac:dyDescent="0.25">
      <c r="A39" s="45" t="s">
        <v>150</v>
      </c>
      <c r="B39" s="101" t="s">
        <v>65</v>
      </c>
      <c r="C39" s="102" t="s">
        <v>83</v>
      </c>
      <c r="D39" s="101">
        <v>92</v>
      </c>
      <c r="E39" s="102">
        <v>2</v>
      </c>
      <c r="F39" s="101" t="s">
        <v>68</v>
      </c>
      <c r="G39" s="101" t="s">
        <v>142</v>
      </c>
      <c r="H39" s="102"/>
      <c r="I39" s="97">
        <f>SUM(I40:I41)</f>
        <v>1313123.04</v>
      </c>
    </row>
    <row r="40" spans="1:9" ht="31.5" x14ac:dyDescent="0.25">
      <c r="A40" s="45" t="s">
        <v>75</v>
      </c>
      <c r="B40" s="101" t="s">
        <v>65</v>
      </c>
      <c r="C40" s="102" t="s">
        <v>83</v>
      </c>
      <c r="D40" s="101">
        <v>92</v>
      </c>
      <c r="E40" s="102">
        <v>2</v>
      </c>
      <c r="F40" s="101" t="s">
        <v>68</v>
      </c>
      <c r="G40" s="101" t="s">
        <v>142</v>
      </c>
      <c r="H40" s="102">
        <v>240</v>
      </c>
      <c r="I40" s="97">
        <f>'Прил 6'!J32</f>
        <v>1299123.04</v>
      </c>
    </row>
    <row r="41" spans="1:9" x14ac:dyDescent="0.25">
      <c r="A41" s="45" t="s">
        <v>77</v>
      </c>
      <c r="B41" s="101" t="s">
        <v>65</v>
      </c>
      <c r="C41" s="102" t="s">
        <v>83</v>
      </c>
      <c r="D41" s="101">
        <v>92</v>
      </c>
      <c r="E41" s="102">
        <v>2</v>
      </c>
      <c r="F41" s="101" t="s">
        <v>68</v>
      </c>
      <c r="G41" s="101" t="s">
        <v>142</v>
      </c>
      <c r="H41" s="102">
        <v>850</v>
      </c>
      <c r="I41" s="97">
        <f>'Прил 6'!J33</f>
        <v>14000</v>
      </c>
    </row>
    <row r="42" spans="1:9" ht="47.25" x14ac:dyDescent="0.25">
      <c r="A42" s="45" t="s">
        <v>398</v>
      </c>
      <c r="B42" s="101" t="s">
        <v>65</v>
      </c>
      <c r="C42" s="102" t="s">
        <v>83</v>
      </c>
      <c r="D42" s="101">
        <v>92</v>
      </c>
      <c r="E42" s="102">
        <v>2</v>
      </c>
      <c r="F42" s="101" t="s">
        <v>68</v>
      </c>
      <c r="G42" s="101" t="s">
        <v>399</v>
      </c>
      <c r="H42" s="102"/>
      <c r="I42" s="97">
        <f>SUM(I43:I44)</f>
        <v>60000</v>
      </c>
    </row>
    <row r="43" spans="1:9" x14ac:dyDescent="0.25">
      <c r="A43" s="44" t="s">
        <v>140</v>
      </c>
      <c r="B43" s="101" t="s">
        <v>65</v>
      </c>
      <c r="C43" s="102" t="s">
        <v>83</v>
      </c>
      <c r="D43" s="101">
        <v>92</v>
      </c>
      <c r="E43" s="102">
        <v>2</v>
      </c>
      <c r="F43" s="101" t="s">
        <v>68</v>
      </c>
      <c r="G43" s="101" t="s">
        <v>399</v>
      </c>
      <c r="H43" s="102">
        <v>120</v>
      </c>
      <c r="I43" s="97">
        <f>'Прил 6'!J35</f>
        <v>29295</v>
      </c>
    </row>
    <row r="44" spans="1:9" ht="31.5" x14ac:dyDescent="0.25">
      <c r="A44" s="45" t="s">
        <v>75</v>
      </c>
      <c r="B44" s="101" t="s">
        <v>65</v>
      </c>
      <c r="C44" s="102" t="s">
        <v>83</v>
      </c>
      <c r="D44" s="101">
        <v>92</v>
      </c>
      <c r="E44" s="102">
        <v>2</v>
      </c>
      <c r="F44" s="101" t="s">
        <v>68</v>
      </c>
      <c r="G44" s="101" t="s">
        <v>399</v>
      </c>
      <c r="H44" s="102">
        <v>240</v>
      </c>
      <c r="I44" s="97">
        <f>'Прил 6'!J36</f>
        <v>30705</v>
      </c>
    </row>
    <row r="45" spans="1:9" x14ac:dyDescent="0.25">
      <c r="A45" s="45" t="s">
        <v>151</v>
      </c>
      <c r="B45" s="101" t="s">
        <v>65</v>
      </c>
      <c r="C45" s="102" t="s">
        <v>83</v>
      </c>
      <c r="D45" s="101">
        <v>97</v>
      </c>
      <c r="E45" s="102">
        <v>0</v>
      </c>
      <c r="F45" s="101" t="s">
        <v>68</v>
      </c>
      <c r="G45" s="101" t="s">
        <v>69</v>
      </c>
      <c r="H45" s="102"/>
      <c r="I45" s="97">
        <f>I46</f>
        <v>870900</v>
      </c>
    </row>
    <row r="46" spans="1:9" ht="47.25" x14ac:dyDescent="0.25">
      <c r="A46" s="45" t="s">
        <v>152</v>
      </c>
      <c r="B46" s="101" t="s">
        <v>65</v>
      </c>
      <c r="C46" s="102" t="s">
        <v>83</v>
      </c>
      <c r="D46" s="101">
        <v>97</v>
      </c>
      <c r="E46" s="102">
        <v>2</v>
      </c>
      <c r="F46" s="101" t="s">
        <v>68</v>
      </c>
      <c r="G46" s="101" t="s">
        <v>69</v>
      </c>
      <c r="H46" s="102"/>
      <c r="I46" s="97">
        <f>I48+I50+I52+I54</f>
        <v>870900</v>
      </c>
    </row>
    <row r="47" spans="1:9" ht="213" customHeight="1" x14ac:dyDescent="0.25">
      <c r="A47" s="47" t="s">
        <v>153</v>
      </c>
      <c r="B47" s="235" t="s">
        <v>65</v>
      </c>
      <c r="C47" s="235" t="s">
        <v>83</v>
      </c>
      <c r="D47" s="235" t="s">
        <v>154</v>
      </c>
      <c r="E47" s="236">
        <v>2</v>
      </c>
      <c r="F47" s="235" t="s">
        <v>68</v>
      </c>
      <c r="G47" s="235" t="s">
        <v>155</v>
      </c>
      <c r="H47" s="102"/>
      <c r="I47" s="97"/>
    </row>
    <row r="48" spans="1:9" ht="144.75" customHeight="1" x14ac:dyDescent="0.25">
      <c r="A48" s="47" t="s">
        <v>156</v>
      </c>
      <c r="B48" s="235"/>
      <c r="C48" s="235"/>
      <c r="D48" s="235"/>
      <c r="E48" s="236"/>
      <c r="F48" s="235"/>
      <c r="G48" s="235"/>
      <c r="H48" s="102"/>
      <c r="I48" s="97">
        <f>I49</f>
        <v>426300</v>
      </c>
    </row>
    <row r="49" spans="1:9" x14ac:dyDescent="0.25">
      <c r="A49" s="48" t="s">
        <v>157</v>
      </c>
      <c r="B49" s="101" t="s">
        <v>65</v>
      </c>
      <c r="C49" s="101" t="s">
        <v>83</v>
      </c>
      <c r="D49" s="101" t="s">
        <v>154</v>
      </c>
      <c r="E49" s="102">
        <v>2</v>
      </c>
      <c r="F49" s="101" t="s">
        <v>68</v>
      </c>
      <c r="G49" s="101" t="s">
        <v>155</v>
      </c>
      <c r="H49" s="102">
        <v>540</v>
      </c>
      <c r="I49" s="97">
        <f>'Прил 6'!J43</f>
        <v>426300</v>
      </c>
    </row>
    <row r="50" spans="1:9" ht="31.5" x14ac:dyDescent="0.25">
      <c r="A50" s="45" t="s">
        <v>158</v>
      </c>
      <c r="B50" s="101" t="s">
        <v>65</v>
      </c>
      <c r="C50" s="102" t="s">
        <v>83</v>
      </c>
      <c r="D50" s="101">
        <v>97</v>
      </c>
      <c r="E50" s="102">
        <v>2</v>
      </c>
      <c r="F50" s="101" t="s">
        <v>68</v>
      </c>
      <c r="G50" s="101" t="s">
        <v>159</v>
      </c>
      <c r="H50" s="102"/>
      <c r="I50" s="97">
        <f>I51</f>
        <v>135100</v>
      </c>
    </row>
    <row r="51" spans="1:9" x14ac:dyDescent="0.25">
      <c r="A51" s="48" t="s">
        <v>157</v>
      </c>
      <c r="B51" s="101" t="s">
        <v>65</v>
      </c>
      <c r="C51" s="102" t="s">
        <v>83</v>
      </c>
      <c r="D51" s="101">
        <v>97</v>
      </c>
      <c r="E51" s="102">
        <v>2</v>
      </c>
      <c r="F51" s="101" t="s">
        <v>68</v>
      </c>
      <c r="G51" s="101" t="s">
        <v>159</v>
      </c>
      <c r="H51" s="102">
        <v>540</v>
      </c>
      <c r="I51" s="97">
        <f>'Прил 6'!J45</f>
        <v>135100</v>
      </c>
    </row>
    <row r="52" spans="1:9" ht="31.5" x14ac:dyDescent="0.25">
      <c r="A52" s="45" t="s">
        <v>160</v>
      </c>
      <c r="B52" s="101" t="s">
        <v>65</v>
      </c>
      <c r="C52" s="102" t="s">
        <v>83</v>
      </c>
      <c r="D52" s="101">
        <v>97</v>
      </c>
      <c r="E52" s="102">
        <v>2</v>
      </c>
      <c r="F52" s="101" t="s">
        <v>68</v>
      </c>
      <c r="G52" s="101" t="s">
        <v>161</v>
      </c>
      <c r="H52" s="102"/>
      <c r="I52" s="97">
        <f>I53</f>
        <v>116300</v>
      </c>
    </row>
    <row r="53" spans="1:9" x14ac:dyDescent="0.25">
      <c r="A53" s="48" t="s">
        <v>157</v>
      </c>
      <c r="B53" s="101" t="s">
        <v>65</v>
      </c>
      <c r="C53" s="102" t="s">
        <v>83</v>
      </c>
      <c r="D53" s="101">
        <v>97</v>
      </c>
      <c r="E53" s="102">
        <v>2</v>
      </c>
      <c r="F53" s="101" t="s">
        <v>68</v>
      </c>
      <c r="G53" s="101" t="s">
        <v>161</v>
      </c>
      <c r="H53" s="102">
        <v>540</v>
      </c>
      <c r="I53" s="97">
        <f>'Прил 6'!J47</f>
        <v>116300</v>
      </c>
    </row>
    <row r="54" spans="1:9" ht="47.25" x14ac:dyDescent="0.25">
      <c r="A54" s="45" t="s">
        <v>162</v>
      </c>
      <c r="B54" s="101" t="s">
        <v>65</v>
      </c>
      <c r="C54" s="102" t="s">
        <v>83</v>
      </c>
      <c r="D54" s="101">
        <v>97</v>
      </c>
      <c r="E54" s="102">
        <v>2</v>
      </c>
      <c r="F54" s="101" t="s">
        <v>68</v>
      </c>
      <c r="G54" s="101" t="s">
        <v>163</v>
      </c>
      <c r="H54" s="102"/>
      <c r="I54" s="97">
        <f>I55</f>
        <v>193200</v>
      </c>
    </row>
    <row r="55" spans="1:9" x14ac:dyDescent="0.25">
      <c r="A55" s="48" t="s">
        <v>157</v>
      </c>
      <c r="B55" s="101" t="s">
        <v>65</v>
      </c>
      <c r="C55" s="102" t="s">
        <v>83</v>
      </c>
      <c r="D55" s="101">
        <v>97</v>
      </c>
      <c r="E55" s="102">
        <v>2</v>
      </c>
      <c r="F55" s="101" t="s">
        <v>68</v>
      </c>
      <c r="G55" s="101" t="s">
        <v>163</v>
      </c>
      <c r="H55" s="102">
        <v>540</v>
      </c>
      <c r="I55" s="97">
        <f>'Прил 6'!J49</f>
        <v>193200</v>
      </c>
    </row>
    <row r="56" spans="1:9" ht="31.5" x14ac:dyDescent="0.25">
      <c r="A56" s="45" t="s">
        <v>85</v>
      </c>
      <c r="B56" s="101" t="s">
        <v>65</v>
      </c>
      <c r="C56" s="101" t="s">
        <v>86</v>
      </c>
      <c r="D56" s="101"/>
      <c r="E56" s="101"/>
      <c r="F56" s="101"/>
      <c r="G56" s="101"/>
      <c r="H56" s="101"/>
      <c r="I56" s="97">
        <f>I57</f>
        <v>522600</v>
      </c>
    </row>
    <row r="57" spans="1:9" x14ac:dyDescent="0.25">
      <c r="A57" s="45" t="s">
        <v>157</v>
      </c>
      <c r="B57" s="101" t="s">
        <v>65</v>
      </c>
      <c r="C57" s="101" t="s">
        <v>86</v>
      </c>
      <c r="D57" s="101" t="s">
        <v>154</v>
      </c>
      <c r="E57" s="101" t="s">
        <v>67</v>
      </c>
      <c r="F57" s="101" t="s">
        <v>68</v>
      </c>
      <c r="G57" s="101" t="s">
        <v>69</v>
      </c>
      <c r="H57" s="101"/>
      <c r="I57" s="97">
        <f>I58</f>
        <v>522600</v>
      </c>
    </row>
    <row r="58" spans="1:9" ht="47.25" x14ac:dyDescent="0.25">
      <c r="A58" s="45" t="s">
        <v>152</v>
      </c>
      <c r="B58" s="101" t="s">
        <v>65</v>
      </c>
      <c r="C58" s="101" t="s">
        <v>86</v>
      </c>
      <c r="D58" s="101" t="s">
        <v>154</v>
      </c>
      <c r="E58" s="101" t="s">
        <v>73</v>
      </c>
      <c r="F58" s="101" t="s">
        <v>68</v>
      </c>
      <c r="G58" s="101" t="s">
        <v>69</v>
      </c>
      <c r="H58" s="101"/>
      <c r="I58" s="97">
        <f>I59</f>
        <v>522600</v>
      </c>
    </row>
    <row r="59" spans="1:9" ht="31.5" x14ac:dyDescent="0.25">
      <c r="A59" s="45" t="s">
        <v>164</v>
      </c>
      <c r="B59" s="101" t="s">
        <v>65</v>
      </c>
      <c r="C59" s="101" t="s">
        <v>86</v>
      </c>
      <c r="D59" s="101">
        <v>97</v>
      </c>
      <c r="E59" s="102">
        <v>2</v>
      </c>
      <c r="F59" s="101" t="s">
        <v>68</v>
      </c>
      <c r="G59" s="101" t="s">
        <v>165</v>
      </c>
      <c r="H59" s="102"/>
      <c r="I59" s="97">
        <f>I60</f>
        <v>522600</v>
      </c>
    </row>
    <row r="60" spans="1:9" x14ac:dyDescent="0.25">
      <c r="A60" s="48" t="s">
        <v>157</v>
      </c>
      <c r="B60" s="101" t="s">
        <v>65</v>
      </c>
      <c r="C60" s="101" t="s">
        <v>86</v>
      </c>
      <c r="D60" s="101">
        <v>97</v>
      </c>
      <c r="E60" s="102">
        <v>2</v>
      </c>
      <c r="F60" s="101" t="s">
        <v>68</v>
      </c>
      <c r="G60" s="101" t="s">
        <v>165</v>
      </c>
      <c r="H60" s="102">
        <v>540</v>
      </c>
      <c r="I60" s="97">
        <f>'Прил 6'!J54</f>
        <v>522600</v>
      </c>
    </row>
    <row r="61" spans="1:9" x14ac:dyDescent="0.25">
      <c r="A61" s="45" t="s">
        <v>87</v>
      </c>
      <c r="B61" s="101" t="s">
        <v>65</v>
      </c>
      <c r="C61" s="101" t="s">
        <v>88</v>
      </c>
      <c r="D61" s="101"/>
      <c r="E61" s="102"/>
      <c r="F61" s="101"/>
      <c r="G61" s="101"/>
      <c r="H61" s="102"/>
      <c r="I61" s="97">
        <f>I62</f>
        <v>899025</v>
      </c>
    </row>
    <row r="62" spans="1:9" ht="31.5" x14ac:dyDescent="0.25">
      <c r="A62" s="49" t="s">
        <v>166</v>
      </c>
      <c r="B62" s="101" t="s">
        <v>65</v>
      </c>
      <c r="C62" s="101" t="s">
        <v>88</v>
      </c>
      <c r="D62" s="102">
        <v>93</v>
      </c>
      <c r="E62" s="101" t="s">
        <v>70</v>
      </c>
      <c r="F62" s="101" t="s">
        <v>68</v>
      </c>
      <c r="G62" s="101" t="s">
        <v>69</v>
      </c>
      <c r="H62" s="102"/>
      <c r="I62" s="97">
        <f>I63</f>
        <v>899025</v>
      </c>
    </row>
    <row r="63" spans="1:9" ht="63" x14ac:dyDescent="0.25">
      <c r="A63" s="49" t="s">
        <v>167</v>
      </c>
      <c r="B63" s="101" t="s">
        <v>65</v>
      </c>
      <c r="C63" s="101" t="s">
        <v>88</v>
      </c>
      <c r="D63" s="102">
        <v>93</v>
      </c>
      <c r="E63" s="101" t="s">
        <v>70</v>
      </c>
      <c r="F63" s="101" t="s">
        <v>68</v>
      </c>
      <c r="G63" s="101" t="s">
        <v>168</v>
      </c>
      <c r="H63" s="102"/>
      <c r="I63" s="97">
        <f>I64</f>
        <v>899025</v>
      </c>
    </row>
    <row r="64" spans="1:9" x14ac:dyDescent="0.25">
      <c r="A64" s="45" t="s">
        <v>89</v>
      </c>
      <c r="B64" s="101" t="s">
        <v>65</v>
      </c>
      <c r="C64" s="101" t="s">
        <v>88</v>
      </c>
      <c r="D64" s="102">
        <v>93</v>
      </c>
      <c r="E64" s="101" t="s">
        <v>70</v>
      </c>
      <c r="F64" s="101" t="s">
        <v>68</v>
      </c>
      <c r="G64" s="101" t="s">
        <v>168</v>
      </c>
      <c r="H64" s="102">
        <v>880</v>
      </c>
      <c r="I64" s="97">
        <f>'Прил 6'!J58</f>
        <v>899025</v>
      </c>
    </row>
    <row r="65" spans="1:9" x14ac:dyDescent="0.25">
      <c r="A65" s="44" t="s">
        <v>93</v>
      </c>
      <c r="B65" s="101" t="s">
        <v>65</v>
      </c>
      <c r="C65" s="102">
        <v>11</v>
      </c>
      <c r="D65" s="101"/>
      <c r="E65" s="102"/>
      <c r="F65" s="101"/>
      <c r="G65" s="101"/>
      <c r="H65" s="102" t="s">
        <v>135</v>
      </c>
      <c r="I65" s="96">
        <f>I66</f>
        <v>2000000</v>
      </c>
    </row>
    <row r="66" spans="1:9" x14ac:dyDescent="0.25">
      <c r="A66" s="44" t="s">
        <v>93</v>
      </c>
      <c r="B66" s="101" t="s">
        <v>65</v>
      </c>
      <c r="C66" s="102">
        <v>11</v>
      </c>
      <c r="D66" s="101">
        <v>94</v>
      </c>
      <c r="E66" s="102">
        <v>0</v>
      </c>
      <c r="F66" s="101" t="s">
        <v>68</v>
      </c>
      <c r="G66" s="101" t="s">
        <v>69</v>
      </c>
      <c r="H66" s="102"/>
      <c r="I66" s="96">
        <f>I67</f>
        <v>2000000</v>
      </c>
    </row>
    <row r="67" spans="1:9" x14ac:dyDescent="0.25">
      <c r="A67" s="44" t="s">
        <v>169</v>
      </c>
      <c r="B67" s="101" t="s">
        <v>65</v>
      </c>
      <c r="C67" s="102">
        <v>11</v>
      </c>
      <c r="D67" s="101">
        <v>94</v>
      </c>
      <c r="E67" s="102">
        <v>1</v>
      </c>
      <c r="F67" s="101" t="s">
        <v>68</v>
      </c>
      <c r="G67" s="101" t="s">
        <v>69</v>
      </c>
      <c r="H67" s="102" t="s">
        <v>135</v>
      </c>
      <c r="I67" s="96">
        <f>I68</f>
        <v>2000000</v>
      </c>
    </row>
    <row r="68" spans="1:9" x14ac:dyDescent="0.25">
      <c r="A68" s="44" t="s">
        <v>169</v>
      </c>
      <c r="B68" s="101" t="s">
        <v>65</v>
      </c>
      <c r="C68" s="102">
        <v>11</v>
      </c>
      <c r="D68" s="101">
        <v>94</v>
      </c>
      <c r="E68" s="102">
        <v>1</v>
      </c>
      <c r="F68" s="101" t="s">
        <v>68</v>
      </c>
      <c r="G68" s="101" t="s">
        <v>170</v>
      </c>
      <c r="H68" s="102"/>
      <c r="I68" s="96">
        <f>I69</f>
        <v>2000000</v>
      </c>
    </row>
    <row r="69" spans="1:9" x14ac:dyDescent="0.25">
      <c r="A69" s="44" t="s">
        <v>95</v>
      </c>
      <c r="B69" s="101" t="s">
        <v>65</v>
      </c>
      <c r="C69" s="102">
        <v>11</v>
      </c>
      <c r="D69" s="101">
        <v>94</v>
      </c>
      <c r="E69" s="102">
        <v>1</v>
      </c>
      <c r="F69" s="101" t="s">
        <v>68</v>
      </c>
      <c r="G69" s="101" t="s">
        <v>170</v>
      </c>
      <c r="H69" s="101" t="s">
        <v>96</v>
      </c>
      <c r="I69" s="96">
        <f>'Прил 6'!J63</f>
        <v>2000000</v>
      </c>
    </row>
    <row r="70" spans="1:9" x14ac:dyDescent="0.25">
      <c r="A70" s="44" t="s">
        <v>98</v>
      </c>
      <c r="B70" s="101" t="s">
        <v>65</v>
      </c>
      <c r="C70" s="102">
        <v>13</v>
      </c>
      <c r="D70" s="101"/>
      <c r="E70" s="102"/>
      <c r="F70" s="101"/>
      <c r="G70" s="101"/>
      <c r="H70" s="102"/>
      <c r="I70" s="97">
        <f>I71+I86+I103+I109+I113+I120+I127+I131+I137</f>
        <v>16858666.710000001</v>
      </c>
    </row>
    <row r="71" spans="1:9" ht="47.25" x14ac:dyDescent="0.25">
      <c r="A71" s="44" t="s">
        <v>171</v>
      </c>
      <c r="B71" s="101" t="s">
        <v>65</v>
      </c>
      <c r="C71" s="102">
        <v>13</v>
      </c>
      <c r="D71" s="101" t="s">
        <v>65</v>
      </c>
      <c r="E71" s="102">
        <v>0</v>
      </c>
      <c r="F71" s="101" t="s">
        <v>68</v>
      </c>
      <c r="G71" s="101" t="s">
        <v>69</v>
      </c>
      <c r="H71" s="102"/>
      <c r="I71" s="97">
        <f>I72+I83</f>
        <v>13923239.75</v>
      </c>
    </row>
    <row r="72" spans="1:9" x14ac:dyDescent="0.25">
      <c r="A72" s="44" t="s">
        <v>172</v>
      </c>
      <c r="B72" s="101" t="s">
        <v>65</v>
      </c>
      <c r="C72" s="102">
        <v>13</v>
      </c>
      <c r="D72" s="101" t="s">
        <v>65</v>
      </c>
      <c r="E72" s="102">
        <v>1</v>
      </c>
      <c r="F72" s="101" t="s">
        <v>68</v>
      </c>
      <c r="G72" s="101" t="s">
        <v>69</v>
      </c>
      <c r="H72" s="102"/>
      <c r="I72" s="97">
        <f>I73+I75+I77+I79+I81</f>
        <v>13613239.75</v>
      </c>
    </row>
    <row r="73" spans="1:9" hidden="1" x14ac:dyDescent="0.25">
      <c r="A73" s="45" t="s">
        <v>400</v>
      </c>
      <c r="B73" s="101" t="s">
        <v>65</v>
      </c>
      <c r="C73" s="102">
        <v>13</v>
      </c>
      <c r="D73" s="101" t="s">
        <v>65</v>
      </c>
      <c r="E73" s="102">
        <v>1</v>
      </c>
      <c r="F73" s="101" t="s">
        <v>68</v>
      </c>
      <c r="G73" s="101" t="s">
        <v>401</v>
      </c>
      <c r="H73" s="102"/>
      <c r="I73" s="97">
        <f>I74</f>
        <v>0</v>
      </c>
    </row>
    <row r="74" spans="1:9" ht="31.5" hidden="1" x14ac:dyDescent="0.25">
      <c r="A74" s="45" t="s">
        <v>75</v>
      </c>
      <c r="B74" s="101" t="s">
        <v>65</v>
      </c>
      <c r="C74" s="102">
        <v>13</v>
      </c>
      <c r="D74" s="101" t="s">
        <v>65</v>
      </c>
      <c r="E74" s="102">
        <v>1</v>
      </c>
      <c r="F74" s="101" t="s">
        <v>68</v>
      </c>
      <c r="G74" s="101" t="s">
        <v>401</v>
      </c>
      <c r="H74" s="102">
        <v>240</v>
      </c>
      <c r="I74" s="97">
        <f>'Прил 6'!J68</f>
        <v>0</v>
      </c>
    </row>
    <row r="75" spans="1:9" x14ac:dyDescent="0.25">
      <c r="A75" s="45" t="s">
        <v>173</v>
      </c>
      <c r="B75" s="101" t="s">
        <v>65</v>
      </c>
      <c r="C75" s="102">
        <v>13</v>
      </c>
      <c r="D75" s="101" t="s">
        <v>65</v>
      </c>
      <c r="E75" s="102">
        <v>1</v>
      </c>
      <c r="F75" s="101" t="s">
        <v>68</v>
      </c>
      <c r="G75" s="101" t="s">
        <v>174</v>
      </c>
      <c r="H75" s="102"/>
      <c r="I75" s="97">
        <f>I76</f>
        <v>7478797.8499999996</v>
      </c>
    </row>
    <row r="76" spans="1:9" ht="31.5" x14ac:dyDescent="0.25">
      <c r="A76" s="45" t="s">
        <v>75</v>
      </c>
      <c r="B76" s="101" t="s">
        <v>65</v>
      </c>
      <c r="C76" s="102">
        <v>13</v>
      </c>
      <c r="D76" s="101" t="s">
        <v>65</v>
      </c>
      <c r="E76" s="102">
        <v>1</v>
      </c>
      <c r="F76" s="101" t="s">
        <v>68</v>
      </c>
      <c r="G76" s="101" t="s">
        <v>174</v>
      </c>
      <c r="H76" s="102">
        <v>240</v>
      </c>
      <c r="I76" s="97">
        <f>'Прил 6'!J70</f>
        <v>7478797.8499999996</v>
      </c>
    </row>
    <row r="77" spans="1:9" x14ac:dyDescent="0.25">
      <c r="A77" s="45" t="s">
        <v>175</v>
      </c>
      <c r="B77" s="101" t="s">
        <v>65</v>
      </c>
      <c r="C77" s="102">
        <v>13</v>
      </c>
      <c r="D77" s="101" t="s">
        <v>65</v>
      </c>
      <c r="E77" s="102">
        <v>1</v>
      </c>
      <c r="F77" s="101" t="s">
        <v>68</v>
      </c>
      <c r="G77" s="101" t="s">
        <v>176</v>
      </c>
      <c r="H77" s="102"/>
      <c r="I77" s="97">
        <f>I78</f>
        <v>2500000</v>
      </c>
    </row>
    <row r="78" spans="1:9" ht="31.5" x14ac:dyDescent="0.25">
      <c r="A78" s="45" t="s">
        <v>75</v>
      </c>
      <c r="B78" s="101" t="s">
        <v>65</v>
      </c>
      <c r="C78" s="102">
        <v>13</v>
      </c>
      <c r="D78" s="101" t="s">
        <v>65</v>
      </c>
      <c r="E78" s="102">
        <v>1</v>
      </c>
      <c r="F78" s="101" t="s">
        <v>68</v>
      </c>
      <c r="G78" s="101" t="s">
        <v>176</v>
      </c>
      <c r="H78" s="102">
        <v>240</v>
      </c>
      <c r="I78" s="97">
        <f>'Прил 6'!J72</f>
        <v>2500000</v>
      </c>
    </row>
    <row r="79" spans="1:9" x14ac:dyDescent="0.25">
      <c r="A79" s="45" t="s">
        <v>451</v>
      </c>
      <c r="B79" s="123" t="s">
        <v>65</v>
      </c>
      <c r="C79" s="124">
        <v>13</v>
      </c>
      <c r="D79" s="123" t="s">
        <v>65</v>
      </c>
      <c r="E79" s="124">
        <v>1</v>
      </c>
      <c r="F79" s="123" t="s">
        <v>68</v>
      </c>
      <c r="G79" s="123" t="s">
        <v>452</v>
      </c>
      <c r="H79" s="124"/>
      <c r="I79" s="97">
        <f>I80</f>
        <v>3500000</v>
      </c>
    </row>
    <row r="80" spans="1:9" ht="31.5" x14ac:dyDescent="0.25">
      <c r="A80" s="45" t="s">
        <v>75</v>
      </c>
      <c r="B80" s="123" t="s">
        <v>65</v>
      </c>
      <c r="C80" s="124">
        <v>13</v>
      </c>
      <c r="D80" s="123" t="s">
        <v>65</v>
      </c>
      <c r="E80" s="124">
        <v>1</v>
      </c>
      <c r="F80" s="123" t="s">
        <v>68</v>
      </c>
      <c r="G80" s="123" t="s">
        <v>452</v>
      </c>
      <c r="H80" s="124">
        <v>240</v>
      </c>
      <c r="I80" s="97">
        <f>'Прил 6'!J74</f>
        <v>3500000</v>
      </c>
    </row>
    <row r="81" spans="1:9" x14ac:dyDescent="0.25">
      <c r="A81" s="45" t="s">
        <v>177</v>
      </c>
      <c r="B81" s="101" t="s">
        <v>65</v>
      </c>
      <c r="C81" s="102">
        <v>13</v>
      </c>
      <c r="D81" s="101" t="s">
        <v>65</v>
      </c>
      <c r="E81" s="102">
        <v>1</v>
      </c>
      <c r="F81" s="101" t="s">
        <v>68</v>
      </c>
      <c r="G81" s="101" t="s">
        <v>178</v>
      </c>
      <c r="H81" s="102"/>
      <c r="I81" s="97">
        <f>I82</f>
        <v>134441.9</v>
      </c>
    </row>
    <row r="82" spans="1:9" ht="31.5" x14ac:dyDescent="0.25">
      <c r="A82" s="45" t="s">
        <v>75</v>
      </c>
      <c r="B82" s="101" t="s">
        <v>65</v>
      </c>
      <c r="C82" s="102">
        <v>13</v>
      </c>
      <c r="D82" s="101" t="s">
        <v>65</v>
      </c>
      <c r="E82" s="102">
        <v>1</v>
      </c>
      <c r="F82" s="101" t="s">
        <v>68</v>
      </c>
      <c r="G82" s="101" t="s">
        <v>178</v>
      </c>
      <c r="H82" s="102">
        <v>240</v>
      </c>
      <c r="I82" s="97">
        <f>'Прил 6'!J76</f>
        <v>134441.9</v>
      </c>
    </row>
    <row r="83" spans="1:9" ht="31.5" x14ac:dyDescent="0.25">
      <c r="A83" s="45" t="s">
        <v>179</v>
      </c>
      <c r="B83" s="101" t="s">
        <v>65</v>
      </c>
      <c r="C83" s="102">
        <v>13</v>
      </c>
      <c r="D83" s="101" t="s">
        <v>65</v>
      </c>
      <c r="E83" s="102">
        <v>2</v>
      </c>
      <c r="F83" s="101" t="s">
        <v>68</v>
      </c>
      <c r="G83" s="101" t="s">
        <v>69</v>
      </c>
      <c r="H83" s="102"/>
      <c r="I83" s="97">
        <f>I84</f>
        <v>310000</v>
      </c>
    </row>
    <row r="84" spans="1:9" ht="31.5" x14ac:dyDescent="0.25">
      <c r="A84" s="45" t="s">
        <v>180</v>
      </c>
      <c r="B84" s="101" t="s">
        <v>65</v>
      </c>
      <c r="C84" s="102">
        <v>13</v>
      </c>
      <c r="D84" s="101" t="s">
        <v>65</v>
      </c>
      <c r="E84" s="102">
        <v>2</v>
      </c>
      <c r="F84" s="101" t="s">
        <v>68</v>
      </c>
      <c r="G84" s="101" t="s">
        <v>181</v>
      </c>
      <c r="H84" s="102"/>
      <c r="I84" s="97">
        <f>I85</f>
        <v>310000</v>
      </c>
    </row>
    <row r="85" spans="1:9" ht="31.5" x14ac:dyDescent="0.25">
      <c r="A85" s="45" t="s">
        <v>75</v>
      </c>
      <c r="B85" s="101" t="s">
        <v>65</v>
      </c>
      <c r="C85" s="102">
        <v>13</v>
      </c>
      <c r="D85" s="101" t="s">
        <v>65</v>
      </c>
      <c r="E85" s="102">
        <v>2</v>
      </c>
      <c r="F85" s="101" t="s">
        <v>68</v>
      </c>
      <c r="G85" s="101" t="s">
        <v>181</v>
      </c>
      <c r="H85" s="102">
        <v>240</v>
      </c>
      <c r="I85" s="97">
        <f>'Прил 6'!J79</f>
        <v>310000</v>
      </c>
    </row>
    <row r="86" spans="1:9" ht="47.25" x14ac:dyDescent="0.25">
      <c r="A86" s="44" t="s">
        <v>182</v>
      </c>
      <c r="B86" s="101" t="s">
        <v>65</v>
      </c>
      <c r="C86" s="102">
        <v>13</v>
      </c>
      <c r="D86" s="101" t="s">
        <v>88</v>
      </c>
      <c r="E86" s="102">
        <v>0</v>
      </c>
      <c r="F86" s="101" t="s">
        <v>68</v>
      </c>
      <c r="G86" s="101" t="s">
        <v>69</v>
      </c>
      <c r="H86" s="102"/>
      <c r="I86" s="97">
        <f>I87</f>
        <v>1312736</v>
      </c>
    </row>
    <row r="87" spans="1:9" ht="31.5" x14ac:dyDescent="0.25">
      <c r="A87" s="44" t="s">
        <v>183</v>
      </c>
      <c r="B87" s="101" t="s">
        <v>65</v>
      </c>
      <c r="C87" s="102">
        <v>13</v>
      </c>
      <c r="D87" s="101" t="s">
        <v>88</v>
      </c>
      <c r="E87" s="102">
        <v>1</v>
      </c>
      <c r="F87" s="101" t="s">
        <v>68</v>
      </c>
      <c r="G87" s="101" t="s">
        <v>69</v>
      </c>
      <c r="H87" s="102"/>
      <c r="I87" s="97">
        <f>I88+I91+I94+I97+I100</f>
        <v>1312736</v>
      </c>
    </row>
    <row r="88" spans="1:9" x14ac:dyDescent="0.25">
      <c r="A88" s="44" t="s">
        <v>184</v>
      </c>
      <c r="B88" s="101" t="s">
        <v>65</v>
      </c>
      <c r="C88" s="102">
        <v>13</v>
      </c>
      <c r="D88" s="101" t="s">
        <v>88</v>
      </c>
      <c r="E88" s="102">
        <v>1</v>
      </c>
      <c r="F88" s="101" t="s">
        <v>65</v>
      </c>
      <c r="G88" s="101" t="s">
        <v>69</v>
      </c>
      <c r="H88" s="102"/>
      <c r="I88" s="97">
        <f>I89</f>
        <v>283760.94</v>
      </c>
    </row>
    <row r="89" spans="1:9" ht="31.5" x14ac:dyDescent="0.25">
      <c r="A89" s="45" t="s">
        <v>185</v>
      </c>
      <c r="B89" s="101" t="s">
        <v>65</v>
      </c>
      <c r="C89" s="101" t="s">
        <v>99</v>
      </c>
      <c r="D89" s="101" t="s">
        <v>88</v>
      </c>
      <c r="E89" s="101" t="s">
        <v>70</v>
      </c>
      <c r="F89" s="101" t="s">
        <v>65</v>
      </c>
      <c r="G89" s="101" t="s">
        <v>186</v>
      </c>
      <c r="H89" s="101"/>
      <c r="I89" s="97">
        <f>I90</f>
        <v>283760.94</v>
      </c>
    </row>
    <row r="90" spans="1:9" ht="31.5" x14ac:dyDescent="0.25">
      <c r="A90" s="45" t="s">
        <v>75</v>
      </c>
      <c r="B90" s="101" t="s">
        <v>65</v>
      </c>
      <c r="C90" s="101" t="s">
        <v>99</v>
      </c>
      <c r="D90" s="101" t="s">
        <v>88</v>
      </c>
      <c r="E90" s="101" t="s">
        <v>70</v>
      </c>
      <c r="F90" s="101" t="s">
        <v>65</v>
      </c>
      <c r="G90" s="101" t="s">
        <v>186</v>
      </c>
      <c r="H90" s="101" t="s">
        <v>76</v>
      </c>
      <c r="I90" s="97">
        <f>'Прил 6'!J84</f>
        <v>283760.94</v>
      </c>
    </row>
    <row r="91" spans="1:9" ht="31.5" x14ac:dyDescent="0.25">
      <c r="A91" s="44" t="s">
        <v>187</v>
      </c>
      <c r="B91" s="101" t="s">
        <v>65</v>
      </c>
      <c r="C91" s="102">
        <v>13</v>
      </c>
      <c r="D91" s="101" t="s">
        <v>88</v>
      </c>
      <c r="E91" s="102">
        <v>1</v>
      </c>
      <c r="F91" s="101" t="s">
        <v>66</v>
      </c>
      <c r="G91" s="101" t="s">
        <v>69</v>
      </c>
      <c r="H91" s="102"/>
      <c r="I91" s="97">
        <f>I92</f>
        <v>17880</v>
      </c>
    </row>
    <row r="92" spans="1:9" ht="31.5" x14ac:dyDescent="0.25">
      <c r="A92" s="45" t="s">
        <v>185</v>
      </c>
      <c r="B92" s="101" t="s">
        <v>65</v>
      </c>
      <c r="C92" s="101" t="s">
        <v>99</v>
      </c>
      <c r="D92" s="101" t="s">
        <v>88</v>
      </c>
      <c r="E92" s="101" t="s">
        <v>70</v>
      </c>
      <c r="F92" s="101" t="s">
        <v>66</v>
      </c>
      <c r="G92" s="101" t="s">
        <v>186</v>
      </c>
      <c r="H92" s="101"/>
      <c r="I92" s="97">
        <f>I93</f>
        <v>17880</v>
      </c>
    </row>
    <row r="93" spans="1:9" ht="31.5" x14ac:dyDescent="0.25">
      <c r="A93" s="45" t="s">
        <v>75</v>
      </c>
      <c r="B93" s="101" t="s">
        <v>65</v>
      </c>
      <c r="C93" s="101" t="s">
        <v>99</v>
      </c>
      <c r="D93" s="101" t="s">
        <v>88</v>
      </c>
      <c r="E93" s="101" t="s">
        <v>70</v>
      </c>
      <c r="F93" s="101" t="s">
        <v>66</v>
      </c>
      <c r="G93" s="101" t="s">
        <v>186</v>
      </c>
      <c r="H93" s="101" t="s">
        <v>76</v>
      </c>
      <c r="I93" s="97">
        <f>'Прил 6'!J87</f>
        <v>17880</v>
      </c>
    </row>
    <row r="94" spans="1:9" x14ac:dyDescent="0.25">
      <c r="A94" s="44" t="s">
        <v>188</v>
      </c>
      <c r="B94" s="101" t="s">
        <v>65</v>
      </c>
      <c r="C94" s="102">
        <v>13</v>
      </c>
      <c r="D94" s="101" t="s">
        <v>88</v>
      </c>
      <c r="E94" s="102">
        <v>1</v>
      </c>
      <c r="F94" s="101" t="s">
        <v>72</v>
      </c>
      <c r="G94" s="101" t="s">
        <v>69</v>
      </c>
      <c r="H94" s="102"/>
      <c r="I94" s="97">
        <f>I95</f>
        <v>922036</v>
      </c>
    </row>
    <row r="95" spans="1:9" ht="31.5" x14ac:dyDescent="0.25">
      <c r="A95" s="45" t="s">
        <v>185</v>
      </c>
      <c r="B95" s="101" t="s">
        <v>65</v>
      </c>
      <c r="C95" s="101" t="s">
        <v>99</v>
      </c>
      <c r="D95" s="101" t="s">
        <v>88</v>
      </c>
      <c r="E95" s="101" t="s">
        <v>70</v>
      </c>
      <c r="F95" s="101" t="s">
        <v>72</v>
      </c>
      <c r="G95" s="101" t="s">
        <v>186</v>
      </c>
      <c r="H95" s="101"/>
      <c r="I95" s="97">
        <f>I96</f>
        <v>922036</v>
      </c>
    </row>
    <row r="96" spans="1:9" ht="31.5" x14ac:dyDescent="0.25">
      <c r="A96" s="45" t="s">
        <v>75</v>
      </c>
      <c r="B96" s="101" t="s">
        <v>65</v>
      </c>
      <c r="C96" s="101" t="s">
        <v>99</v>
      </c>
      <c r="D96" s="101" t="s">
        <v>88</v>
      </c>
      <c r="E96" s="101" t="s">
        <v>70</v>
      </c>
      <c r="F96" s="101" t="s">
        <v>72</v>
      </c>
      <c r="G96" s="101" t="s">
        <v>186</v>
      </c>
      <c r="H96" s="101" t="s">
        <v>76</v>
      </c>
      <c r="I96" s="97">
        <f>'Прил 6'!J90</f>
        <v>922036</v>
      </c>
    </row>
    <row r="97" spans="1:9" x14ac:dyDescent="0.25">
      <c r="A97" s="44" t="s">
        <v>189</v>
      </c>
      <c r="B97" s="101" t="s">
        <v>65</v>
      </c>
      <c r="C97" s="102">
        <v>13</v>
      </c>
      <c r="D97" s="101" t="s">
        <v>88</v>
      </c>
      <c r="E97" s="102">
        <v>1</v>
      </c>
      <c r="F97" s="101" t="s">
        <v>83</v>
      </c>
      <c r="G97" s="101" t="s">
        <v>69</v>
      </c>
      <c r="H97" s="102"/>
      <c r="I97" s="97">
        <f>I98</f>
        <v>69059.06</v>
      </c>
    </row>
    <row r="98" spans="1:9" ht="31.5" x14ac:dyDescent="0.25">
      <c r="A98" s="45" t="s">
        <v>185</v>
      </c>
      <c r="B98" s="101" t="s">
        <v>65</v>
      </c>
      <c r="C98" s="101" t="s">
        <v>99</v>
      </c>
      <c r="D98" s="101" t="s">
        <v>88</v>
      </c>
      <c r="E98" s="101" t="s">
        <v>70</v>
      </c>
      <c r="F98" s="101" t="s">
        <v>83</v>
      </c>
      <c r="G98" s="101" t="s">
        <v>186</v>
      </c>
      <c r="H98" s="101"/>
      <c r="I98" s="97">
        <f>I99</f>
        <v>69059.06</v>
      </c>
    </row>
    <row r="99" spans="1:9" ht="31.5" x14ac:dyDescent="0.25">
      <c r="A99" s="45" t="s">
        <v>75</v>
      </c>
      <c r="B99" s="101" t="s">
        <v>65</v>
      </c>
      <c r="C99" s="101" t="s">
        <v>99</v>
      </c>
      <c r="D99" s="101" t="s">
        <v>88</v>
      </c>
      <c r="E99" s="101" t="s">
        <v>70</v>
      </c>
      <c r="F99" s="101" t="s">
        <v>83</v>
      </c>
      <c r="G99" s="101" t="s">
        <v>186</v>
      </c>
      <c r="H99" s="101" t="s">
        <v>76</v>
      </c>
      <c r="I99" s="97">
        <f>'Прил 6'!J93</f>
        <v>69059.06</v>
      </c>
    </row>
    <row r="100" spans="1:9" ht="47.25" x14ac:dyDescent="0.25">
      <c r="A100" s="44" t="s">
        <v>190</v>
      </c>
      <c r="B100" s="101" t="s">
        <v>65</v>
      </c>
      <c r="C100" s="102">
        <v>13</v>
      </c>
      <c r="D100" s="101" t="s">
        <v>88</v>
      </c>
      <c r="E100" s="102">
        <v>1</v>
      </c>
      <c r="F100" s="101" t="s">
        <v>84</v>
      </c>
      <c r="G100" s="101" t="s">
        <v>69</v>
      </c>
      <c r="H100" s="102"/>
      <c r="I100" s="97">
        <f>I101</f>
        <v>20000</v>
      </c>
    </row>
    <row r="101" spans="1:9" ht="31.5" x14ac:dyDescent="0.25">
      <c r="A101" s="45" t="s">
        <v>185</v>
      </c>
      <c r="B101" s="101" t="s">
        <v>65</v>
      </c>
      <c r="C101" s="101" t="s">
        <v>99</v>
      </c>
      <c r="D101" s="101" t="s">
        <v>88</v>
      </c>
      <c r="E101" s="101" t="s">
        <v>70</v>
      </c>
      <c r="F101" s="101" t="s">
        <v>84</v>
      </c>
      <c r="G101" s="101" t="s">
        <v>186</v>
      </c>
      <c r="H101" s="101"/>
      <c r="I101" s="97">
        <f>I102</f>
        <v>20000</v>
      </c>
    </row>
    <row r="102" spans="1:9" ht="31.5" x14ac:dyDescent="0.25">
      <c r="A102" s="45" t="s">
        <v>75</v>
      </c>
      <c r="B102" s="101" t="s">
        <v>65</v>
      </c>
      <c r="C102" s="101" t="s">
        <v>99</v>
      </c>
      <c r="D102" s="101" t="s">
        <v>88</v>
      </c>
      <c r="E102" s="101" t="s">
        <v>70</v>
      </c>
      <c r="F102" s="101" t="s">
        <v>84</v>
      </c>
      <c r="G102" s="101" t="s">
        <v>186</v>
      </c>
      <c r="H102" s="101" t="s">
        <v>76</v>
      </c>
      <c r="I102" s="97">
        <f>'Прил 6'!J96</f>
        <v>20000</v>
      </c>
    </row>
    <row r="103" spans="1:9" ht="47.25" x14ac:dyDescent="0.25">
      <c r="A103" s="44" t="s">
        <v>192</v>
      </c>
      <c r="B103" s="101" t="s">
        <v>65</v>
      </c>
      <c r="C103" s="102">
        <v>13</v>
      </c>
      <c r="D103" s="101" t="s">
        <v>112</v>
      </c>
      <c r="E103" s="102">
        <v>0</v>
      </c>
      <c r="F103" s="101" t="s">
        <v>68</v>
      </c>
      <c r="G103" s="101" t="s">
        <v>69</v>
      </c>
      <c r="H103" s="102"/>
      <c r="I103" s="97">
        <f>I104</f>
        <v>12000</v>
      </c>
    </row>
    <row r="104" spans="1:9" ht="31.5" x14ac:dyDescent="0.25">
      <c r="A104" s="44" t="s">
        <v>193</v>
      </c>
      <c r="B104" s="101" t="s">
        <v>65</v>
      </c>
      <c r="C104" s="102">
        <v>13</v>
      </c>
      <c r="D104" s="101" t="s">
        <v>112</v>
      </c>
      <c r="E104" s="102">
        <v>0</v>
      </c>
      <c r="F104" s="101" t="s">
        <v>68</v>
      </c>
      <c r="G104" s="101" t="s">
        <v>69</v>
      </c>
      <c r="H104" s="102"/>
      <c r="I104" s="97">
        <f>I105+I107</f>
        <v>12000</v>
      </c>
    </row>
    <row r="105" spans="1:9" ht="31.5" x14ac:dyDescent="0.25">
      <c r="A105" s="45" t="s">
        <v>402</v>
      </c>
      <c r="B105" s="101" t="s">
        <v>65</v>
      </c>
      <c r="C105" s="101" t="s">
        <v>99</v>
      </c>
      <c r="D105" s="101" t="s">
        <v>112</v>
      </c>
      <c r="E105" s="101" t="s">
        <v>67</v>
      </c>
      <c r="F105" s="101" t="s">
        <v>68</v>
      </c>
      <c r="G105" s="101" t="s">
        <v>403</v>
      </c>
      <c r="H105" s="101"/>
      <c r="I105" s="97">
        <f>I106</f>
        <v>6000</v>
      </c>
    </row>
    <row r="106" spans="1:9" x14ac:dyDescent="0.25">
      <c r="A106" s="45" t="s">
        <v>91</v>
      </c>
      <c r="B106" s="101" t="s">
        <v>65</v>
      </c>
      <c r="C106" s="101" t="s">
        <v>99</v>
      </c>
      <c r="D106" s="101" t="s">
        <v>112</v>
      </c>
      <c r="E106" s="101" t="s">
        <v>67</v>
      </c>
      <c r="F106" s="101" t="s">
        <v>68</v>
      </c>
      <c r="G106" s="101" t="s">
        <v>403</v>
      </c>
      <c r="H106" s="101" t="s">
        <v>92</v>
      </c>
      <c r="I106" s="97">
        <f>'Прил 6'!J103</f>
        <v>6000</v>
      </c>
    </row>
    <row r="107" spans="1:9" ht="63" x14ac:dyDescent="0.25">
      <c r="A107" s="45" t="s">
        <v>415</v>
      </c>
      <c r="B107" s="101" t="s">
        <v>65</v>
      </c>
      <c r="C107" s="101" t="s">
        <v>99</v>
      </c>
      <c r="D107" s="101" t="s">
        <v>112</v>
      </c>
      <c r="E107" s="101" t="s">
        <v>67</v>
      </c>
      <c r="F107" s="101" t="s">
        <v>68</v>
      </c>
      <c r="G107" s="101" t="s">
        <v>405</v>
      </c>
      <c r="H107" s="101"/>
      <c r="I107" s="97">
        <f>I108</f>
        <v>6000</v>
      </c>
    </row>
    <row r="108" spans="1:9" x14ac:dyDescent="0.25">
      <c r="A108" s="45" t="s">
        <v>91</v>
      </c>
      <c r="B108" s="101" t="s">
        <v>65</v>
      </c>
      <c r="C108" s="101" t="s">
        <v>99</v>
      </c>
      <c r="D108" s="101" t="s">
        <v>112</v>
      </c>
      <c r="E108" s="101" t="s">
        <v>67</v>
      </c>
      <c r="F108" s="101" t="s">
        <v>68</v>
      </c>
      <c r="G108" s="101" t="s">
        <v>405</v>
      </c>
      <c r="H108" s="101" t="s">
        <v>92</v>
      </c>
      <c r="I108" s="97">
        <f>'Прил 6'!J105</f>
        <v>6000</v>
      </c>
    </row>
    <row r="109" spans="1:9" ht="47.25" x14ac:dyDescent="0.25">
      <c r="A109" s="44" t="s">
        <v>194</v>
      </c>
      <c r="B109" s="101" t="s">
        <v>65</v>
      </c>
      <c r="C109" s="101" t="s">
        <v>99</v>
      </c>
      <c r="D109" s="101" t="s">
        <v>90</v>
      </c>
      <c r="E109" s="102">
        <v>0</v>
      </c>
      <c r="F109" s="101" t="s">
        <v>68</v>
      </c>
      <c r="G109" s="101" t="s">
        <v>69</v>
      </c>
      <c r="H109" s="102"/>
      <c r="I109" s="97">
        <f>I110</f>
        <v>10000</v>
      </c>
    </row>
    <row r="110" spans="1:9" x14ac:dyDescent="0.25">
      <c r="A110" s="45" t="s">
        <v>195</v>
      </c>
      <c r="B110" s="101" t="s">
        <v>65</v>
      </c>
      <c r="C110" s="101" t="s">
        <v>99</v>
      </c>
      <c r="D110" s="101" t="s">
        <v>90</v>
      </c>
      <c r="E110" s="101" t="s">
        <v>67</v>
      </c>
      <c r="F110" s="101" t="s">
        <v>65</v>
      </c>
      <c r="G110" s="101" t="s">
        <v>69</v>
      </c>
      <c r="H110" s="101"/>
      <c r="I110" s="97">
        <f>I111</f>
        <v>10000</v>
      </c>
    </row>
    <row r="111" spans="1:9" x14ac:dyDescent="0.25">
      <c r="A111" s="45" t="s">
        <v>196</v>
      </c>
      <c r="B111" s="101" t="s">
        <v>65</v>
      </c>
      <c r="C111" s="101" t="s">
        <v>99</v>
      </c>
      <c r="D111" s="101" t="s">
        <v>90</v>
      </c>
      <c r="E111" s="101" t="s">
        <v>67</v>
      </c>
      <c r="F111" s="101" t="s">
        <v>65</v>
      </c>
      <c r="G111" s="101" t="s">
        <v>197</v>
      </c>
      <c r="H111" s="101"/>
      <c r="I111" s="97">
        <f>I112</f>
        <v>10000</v>
      </c>
    </row>
    <row r="112" spans="1:9" ht="31.5" x14ac:dyDescent="0.25">
      <c r="A112" s="45" t="s">
        <v>75</v>
      </c>
      <c r="B112" s="101" t="s">
        <v>65</v>
      </c>
      <c r="C112" s="101" t="s">
        <v>99</v>
      </c>
      <c r="D112" s="101" t="s">
        <v>90</v>
      </c>
      <c r="E112" s="101" t="s">
        <v>67</v>
      </c>
      <c r="F112" s="101" t="s">
        <v>65</v>
      </c>
      <c r="G112" s="101" t="s">
        <v>197</v>
      </c>
      <c r="H112" s="101" t="s">
        <v>76</v>
      </c>
      <c r="I112" s="97">
        <f>'Прил 6'!J109</f>
        <v>10000</v>
      </c>
    </row>
    <row r="113" spans="1:9" ht="47.25" x14ac:dyDescent="0.25">
      <c r="A113" s="44" t="s">
        <v>143</v>
      </c>
      <c r="B113" s="101" t="s">
        <v>65</v>
      </c>
      <c r="C113" s="102">
        <v>13</v>
      </c>
      <c r="D113" s="101" t="s">
        <v>94</v>
      </c>
      <c r="E113" s="102">
        <v>0</v>
      </c>
      <c r="F113" s="101" t="s">
        <v>68</v>
      </c>
      <c r="G113" s="101" t="s">
        <v>69</v>
      </c>
      <c r="H113" s="102"/>
      <c r="I113" s="97">
        <f>I114+I117</f>
        <v>635000</v>
      </c>
    </row>
    <row r="114" spans="1:9" ht="31.5" x14ac:dyDescent="0.25">
      <c r="A114" s="45" t="s">
        <v>144</v>
      </c>
      <c r="B114" s="101" t="s">
        <v>65</v>
      </c>
      <c r="C114" s="101" t="s">
        <v>99</v>
      </c>
      <c r="D114" s="101" t="s">
        <v>94</v>
      </c>
      <c r="E114" s="101" t="s">
        <v>67</v>
      </c>
      <c r="F114" s="101" t="s">
        <v>65</v>
      </c>
      <c r="G114" s="101" t="s">
        <v>69</v>
      </c>
      <c r="H114" s="101"/>
      <c r="I114" s="97">
        <f>I115</f>
        <v>135000</v>
      </c>
    </row>
    <row r="115" spans="1:9" ht="31.5" x14ac:dyDescent="0.25">
      <c r="A115" s="45" t="s">
        <v>144</v>
      </c>
      <c r="B115" s="101" t="s">
        <v>65</v>
      </c>
      <c r="C115" s="101" t="s">
        <v>99</v>
      </c>
      <c r="D115" s="101" t="s">
        <v>94</v>
      </c>
      <c r="E115" s="101" t="s">
        <v>67</v>
      </c>
      <c r="F115" s="101" t="s">
        <v>65</v>
      </c>
      <c r="G115" s="101" t="s">
        <v>145</v>
      </c>
      <c r="H115" s="101"/>
      <c r="I115" s="97">
        <f>I116</f>
        <v>135000</v>
      </c>
    </row>
    <row r="116" spans="1:9" ht="31.5" x14ac:dyDescent="0.25">
      <c r="A116" s="45" t="s">
        <v>75</v>
      </c>
      <c r="B116" s="101" t="s">
        <v>65</v>
      </c>
      <c r="C116" s="101" t="s">
        <v>99</v>
      </c>
      <c r="D116" s="101" t="s">
        <v>94</v>
      </c>
      <c r="E116" s="101" t="s">
        <v>67</v>
      </c>
      <c r="F116" s="101" t="s">
        <v>65</v>
      </c>
      <c r="G116" s="101" t="s">
        <v>145</v>
      </c>
      <c r="H116" s="101" t="s">
        <v>76</v>
      </c>
      <c r="I116" s="97">
        <f>'Прил 6'!J113</f>
        <v>135000</v>
      </c>
    </row>
    <row r="117" spans="1:9" x14ac:dyDescent="0.25">
      <c r="A117" s="45" t="s">
        <v>412</v>
      </c>
      <c r="B117" s="103" t="s">
        <v>65</v>
      </c>
      <c r="C117" s="103" t="s">
        <v>99</v>
      </c>
      <c r="D117" s="103" t="s">
        <v>94</v>
      </c>
      <c r="E117" s="103" t="s">
        <v>67</v>
      </c>
      <c r="F117" s="103" t="s">
        <v>66</v>
      </c>
      <c r="G117" s="103" t="s">
        <v>69</v>
      </c>
      <c r="H117" s="103"/>
      <c r="I117" s="97">
        <f>I118</f>
        <v>500000</v>
      </c>
    </row>
    <row r="118" spans="1:9" ht="31.5" x14ac:dyDescent="0.25">
      <c r="A118" s="45" t="s">
        <v>144</v>
      </c>
      <c r="B118" s="103" t="s">
        <v>65</v>
      </c>
      <c r="C118" s="103" t="s">
        <v>99</v>
      </c>
      <c r="D118" s="103" t="s">
        <v>94</v>
      </c>
      <c r="E118" s="103" t="s">
        <v>67</v>
      </c>
      <c r="F118" s="103" t="s">
        <v>66</v>
      </c>
      <c r="G118" s="103" t="s">
        <v>145</v>
      </c>
      <c r="H118" s="103"/>
      <c r="I118" s="97">
        <f>I119</f>
        <v>500000</v>
      </c>
    </row>
    <row r="119" spans="1:9" ht="31.5" x14ac:dyDescent="0.25">
      <c r="A119" s="45" t="s">
        <v>75</v>
      </c>
      <c r="B119" s="103" t="s">
        <v>65</v>
      </c>
      <c r="C119" s="103" t="s">
        <v>99</v>
      </c>
      <c r="D119" s="103" t="s">
        <v>94</v>
      </c>
      <c r="E119" s="103" t="s">
        <v>67</v>
      </c>
      <c r="F119" s="103" t="s">
        <v>66</v>
      </c>
      <c r="G119" s="103" t="s">
        <v>145</v>
      </c>
      <c r="H119" s="103" t="s">
        <v>76</v>
      </c>
      <c r="I119" s="97">
        <f>'Прил 6'!J116</f>
        <v>500000</v>
      </c>
    </row>
    <row r="120" spans="1:9" ht="47.25" x14ac:dyDescent="0.25">
      <c r="A120" s="44" t="s">
        <v>198</v>
      </c>
      <c r="B120" s="101" t="s">
        <v>65</v>
      </c>
      <c r="C120" s="102">
        <v>13</v>
      </c>
      <c r="D120" s="101" t="s">
        <v>99</v>
      </c>
      <c r="E120" s="102">
        <v>0</v>
      </c>
      <c r="F120" s="101" t="s">
        <v>68</v>
      </c>
      <c r="G120" s="101" t="s">
        <v>69</v>
      </c>
      <c r="H120" s="102"/>
      <c r="I120" s="97">
        <f>I121+I124</f>
        <v>630000</v>
      </c>
    </row>
    <row r="121" spans="1:9" ht="31.5" x14ac:dyDescent="0.25">
      <c r="A121" s="45" t="s">
        <v>199</v>
      </c>
      <c r="B121" s="101" t="s">
        <v>65</v>
      </c>
      <c r="C121" s="101" t="s">
        <v>99</v>
      </c>
      <c r="D121" s="101" t="s">
        <v>99</v>
      </c>
      <c r="E121" s="101" t="s">
        <v>67</v>
      </c>
      <c r="F121" s="101" t="s">
        <v>66</v>
      </c>
      <c r="G121" s="101"/>
      <c r="H121" s="101"/>
      <c r="I121" s="97">
        <f>I122</f>
        <v>600000</v>
      </c>
    </row>
    <row r="122" spans="1:9" x14ac:dyDescent="0.25">
      <c r="A122" s="45" t="s">
        <v>200</v>
      </c>
      <c r="B122" s="101" t="s">
        <v>65</v>
      </c>
      <c r="C122" s="101" t="s">
        <v>99</v>
      </c>
      <c r="D122" s="101" t="s">
        <v>99</v>
      </c>
      <c r="E122" s="101" t="s">
        <v>67</v>
      </c>
      <c r="F122" s="101" t="s">
        <v>66</v>
      </c>
      <c r="G122" s="101" t="s">
        <v>201</v>
      </c>
      <c r="H122" s="101"/>
      <c r="I122" s="97">
        <f>I123</f>
        <v>600000</v>
      </c>
    </row>
    <row r="123" spans="1:9" ht="31.5" x14ac:dyDescent="0.25">
      <c r="A123" s="45" t="s">
        <v>75</v>
      </c>
      <c r="B123" s="101" t="s">
        <v>65</v>
      </c>
      <c r="C123" s="101" t="s">
        <v>99</v>
      </c>
      <c r="D123" s="101" t="s">
        <v>99</v>
      </c>
      <c r="E123" s="101" t="s">
        <v>67</v>
      </c>
      <c r="F123" s="101" t="s">
        <v>66</v>
      </c>
      <c r="G123" s="101" t="s">
        <v>201</v>
      </c>
      <c r="H123" s="101" t="s">
        <v>76</v>
      </c>
      <c r="I123" s="97">
        <f>'Прил 6'!J120</f>
        <v>600000</v>
      </c>
    </row>
    <row r="124" spans="1:9" ht="47.25" x14ac:dyDescent="0.25">
      <c r="A124" s="45" t="s">
        <v>449</v>
      </c>
      <c r="B124" s="120" t="s">
        <v>65</v>
      </c>
      <c r="C124" s="120" t="s">
        <v>99</v>
      </c>
      <c r="D124" s="120" t="s">
        <v>99</v>
      </c>
      <c r="E124" s="120" t="s">
        <v>67</v>
      </c>
      <c r="F124" s="120" t="s">
        <v>84</v>
      </c>
      <c r="G124" s="120"/>
      <c r="H124" s="120"/>
      <c r="I124" s="97">
        <f>I125</f>
        <v>30000</v>
      </c>
    </row>
    <row r="125" spans="1:9" ht="31.5" x14ac:dyDescent="0.25">
      <c r="A125" s="45" t="s">
        <v>450</v>
      </c>
      <c r="B125" s="120" t="s">
        <v>65</v>
      </c>
      <c r="C125" s="120" t="s">
        <v>99</v>
      </c>
      <c r="D125" s="120" t="s">
        <v>99</v>
      </c>
      <c r="E125" s="120" t="s">
        <v>67</v>
      </c>
      <c r="F125" s="120" t="s">
        <v>84</v>
      </c>
      <c r="G125" s="120" t="s">
        <v>448</v>
      </c>
      <c r="H125" s="120"/>
      <c r="I125" s="97">
        <f>I126</f>
        <v>30000</v>
      </c>
    </row>
    <row r="126" spans="1:9" ht="31.5" x14ac:dyDescent="0.25">
      <c r="A126" s="45" t="s">
        <v>75</v>
      </c>
      <c r="B126" s="120" t="s">
        <v>65</v>
      </c>
      <c r="C126" s="120" t="s">
        <v>99</v>
      </c>
      <c r="D126" s="120" t="s">
        <v>99</v>
      </c>
      <c r="E126" s="120" t="s">
        <v>67</v>
      </c>
      <c r="F126" s="120" t="s">
        <v>84</v>
      </c>
      <c r="G126" s="120" t="s">
        <v>448</v>
      </c>
      <c r="H126" s="120" t="s">
        <v>76</v>
      </c>
      <c r="I126" s="97">
        <f>'Прил 6'!J123</f>
        <v>30000</v>
      </c>
    </row>
    <row r="127" spans="1:9" x14ac:dyDescent="0.25">
      <c r="A127" s="44" t="s">
        <v>136</v>
      </c>
      <c r="B127" s="101" t="s">
        <v>65</v>
      </c>
      <c r="C127" s="102">
        <v>13</v>
      </c>
      <c r="D127" s="101" t="s">
        <v>202</v>
      </c>
      <c r="E127" s="102">
        <v>0</v>
      </c>
      <c r="F127" s="101" t="s">
        <v>68</v>
      </c>
      <c r="G127" s="101" t="s">
        <v>69</v>
      </c>
      <c r="H127" s="102"/>
      <c r="I127" s="97">
        <f>I128</f>
        <v>5000</v>
      </c>
    </row>
    <row r="128" spans="1:9" ht="31.5" x14ac:dyDescent="0.25">
      <c r="A128" s="44" t="s">
        <v>137</v>
      </c>
      <c r="B128" s="101" t="s">
        <v>65</v>
      </c>
      <c r="C128" s="102">
        <v>13</v>
      </c>
      <c r="D128" s="102">
        <v>91</v>
      </c>
      <c r="E128" s="102">
        <v>1</v>
      </c>
      <c r="F128" s="101" t="s">
        <v>68</v>
      </c>
      <c r="G128" s="101" t="s">
        <v>69</v>
      </c>
      <c r="H128" s="102"/>
      <c r="I128" s="97">
        <f>I129</f>
        <v>5000</v>
      </c>
    </row>
    <row r="129" spans="1:9" ht="31.5" x14ac:dyDescent="0.25">
      <c r="A129" s="44" t="s">
        <v>203</v>
      </c>
      <c r="B129" s="101" t="s">
        <v>65</v>
      </c>
      <c r="C129" s="102">
        <v>13</v>
      </c>
      <c r="D129" s="102">
        <v>91</v>
      </c>
      <c r="E129" s="102">
        <v>1</v>
      </c>
      <c r="F129" s="101" t="s">
        <v>68</v>
      </c>
      <c r="G129" s="101" t="s">
        <v>204</v>
      </c>
      <c r="H129" s="102"/>
      <c r="I129" s="97">
        <f>I130</f>
        <v>5000</v>
      </c>
    </row>
    <row r="130" spans="1:9" ht="31.5" x14ac:dyDescent="0.25">
      <c r="A130" s="44" t="s">
        <v>75</v>
      </c>
      <c r="B130" s="101" t="s">
        <v>65</v>
      </c>
      <c r="C130" s="102">
        <v>13</v>
      </c>
      <c r="D130" s="102">
        <v>91</v>
      </c>
      <c r="E130" s="102">
        <v>1</v>
      </c>
      <c r="F130" s="101" t="s">
        <v>68</v>
      </c>
      <c r="G130" s="101" t="s">
        <v>204</v>
      </c>
      <c r="H130" s="102">
        <v>240</v>
      </c>
      <c r="I130" s="97">
        <f>'Прил 6'!J363</f>
        <v>5000</v>
      </c>
    </row>
    <row r="131" spans="1:9" x14ac:dyDescent="0.25">
      <c r="A131" s="45" t="s">
        <v>146</v>
      </c>
      <c r="B131" s="101" t="s">
        <v>65</v>
      </c>
      <c r="C131" s="101" t="s">
        <v>99</v>
      </c>
      <c r="D131" s="102">
        <v>92</v>
      </c>
      <c r="E131" s="101"/>
      <c r="F131" s="101"/>
      <c r="G131" s="102"/>
      <c r="H131" s="101"/>
      <c r="I131" s="97">
        <f>I132</f>
        <v>195695.11</v>
      </c>
    </row>
    <row r="132" spans="1:9" x14ac:dyDescent="0.25">
      <c r="A132" s="45" t="s">
        <v>205</v>
      </c>
      <c r="B132" s="101" t="s">
        <v>65</v>
      </c>
      <c r="C132" s="101" t="s">
        <v>99</v>
      </c>
      <c r="D132" s="102">
        <v>92</v>
      </c>
      <c r="E132" s="101" t="s">
        <v>73</v>
      </c>
      <c r="F132" s="101"/>
      <c r="G132" s="102"/>
      <c r="H132" s="101"/>
      <c r="I132" s="97">
        <f>I133</f>
        <v>195695.11</v>
      </c>
    </row>
    <row r="133" spans="1:9" ht="47.25" x14ac:dyDescent="0.25">
      <c r="A133" s="45" t="s">
        <v>206</v>
      </c>
      <c r="B133" s="101" t="s">
        <v>65</v>
      </c>
      <c r="C133" s="101" t="s">
        <v>99</v>
      </c>
      <c r="D133" s="102">
        <v>92</v>
      </c>
      <c r="E133" s="101" t="s">
        <v>73</v>
      </c>
      <c r="F133" s="101" t="s">
        <v>68</v>
      </c>
      <c r="G133" s="102"/>
      <c r="H133" s="101"/>
      <c r="I133" s="97">
        <f>SUM(I134:I136)</f>
        <v>195695.11</v>
      </c>
    </row>
    <row r="134" spans="1:9" ht="31.5" x14ac:dyDescent="0.25">
      <c r="A134" s="45" t="s">
        <v>75</v>
      </c>
      <c r="B134" s="101" t="s">
        <v>65</v>
      </c>
      <c r="C134" s="101" t="s">
        <v>99</v>
      </c>
      <c r="D134" s="102">
        <v>92</v>
      </c>
      <c r="E134" s="101" t="s">
        <v>73</v>
      </c>
      <c r="F134" s="101" t="s">
        <v>68</v>
      </c>
      <c r="G134" s="102">
        <v>26390</v>
      </c>
      <c r="H134" s="101" t="s">
        <v>76</v>
      </c>
      <c r="I134" s="97">
        <f>'Прил 6'!J127</f>
        <v>166724.62</v>
      </c>
    </row>
    <row r="135" spans="1:9" x14ac:dyDescent="0.25">
      <c r="A135" s="45" t="s">
        <v>103</v>
      </c>
      <c r="B135" s="101" t="s">
        <v>65</v>
      </c>
      <c r="C135" s="101" t="s">
        <v>99</v>
      </c>
      <c r="D135" s="102">
        <v>92</v>
      </c>
      <c r="E135" s="101" t="s">
        <v>73</v>
      </c>
      <c r="F135" s="101" t="s">
        <v>68</v>
      </c>
      <c r="G135" s="102">
        <v>26390</v>
      </c>
      <c r="H135" s="101" t="s">
        <v>104</v>
      </c>
      <c r="I135" s="97">
        <f>'Прил 6'!J128</f>
        <v>28970.49</v>
      </c>
    </row>
    <row r="136" spans="1:9" hidden="1" x14ac:dyDescent="0.25">
      <c r="A136" s="45" t="s">
        <v>77</v>
      </c>
      <c r="B136" s="101" t="s">
        <v>65</v>
      </c>
      <c r="C136" s="101" t="s">
        <v>99</v>
      </c>
      <c r="D136" s="102">
        <v>92</v>
      </c>
      <c r="E136" s="101" t="s">
        <v>73</v>
      </c>
      <c r="F136" s="101" t="s">
        <v>68</v>
      </c>
      <c r="G136" s="102">
        <v>26390</v>
      </c>
      <c r="H136" s="101" t="s">
        <v>78</v>
      </c>
      <c r="I136" s="97">
        <f>'Прил 6'!J129</f>
        <v>0</v>
      </c>
    </row>
    <row r="137" spans="1:9" x14ac:dyDescent="0.25">
      <c r="A137" s="45" t="s">
        <v>80</v>
      </c>
      <c r="B137" s="101" t="s">
        <v>65</v>
      </c>
      <c r="C137" s="101" t="s">
        <v>99</v>
      </c>
      <c r="D137" s="101" t="s">
        <v>81</v>
      </c>
      <c r="E137" s="102">
        <v>0</v>
      </c>
      <c r="F137" s="101" t="s">
        <v>68</v>
      </c>
      <c r="G137" s="101" t="s">
        <v>69</v>
      </c>
      <c r="H137" s="102"/>
      <c r="I137" s="97">
        <f>I138</f>
        <v>134995.85</v>
      </c>
    </row>
    <row r="138" spans="1:9" x14ac:dyDescent="0.25">
      <c r="A138" s="45" t="s">
        <v>207</v>
      </c>
      <c r="B138" s="101" t="s">
        <v>65</v>
      </c>
      <c r="C138" s="101" t="s">
        <v>99</v>
      </c>
      <c r="D138" s="101" t="s">
        <v>81</v>
      </c>
      <c r="E138" s="102">
        <v>9</v>
      </c>
      <c r="F138" s="101" t="s">
        <v>68</v>
      </c>
      <c r="G138" s="101" t="s">
        <v>69</v>
      </c>
      <c r="H138" s="102"/>
      <c r="I138" s="97">
        <f>I139+I141+I143</f>
        <v>134995.85</v>
      </c>
    </row>
    <row r="139" spans="1:9" ht="31.5" x14ac:dyDescent="0.25">
      <c r="A139" s="45" t="s">
        <v>208</v>
      </c>
      <c r="B139" s="101" t="s">
        <v>65</v>
      </c>
      <c r="C139" s="101" t="s">
        <v>99</v>
      </c>
      <c r="D139" s="101" t="s">
        <v>81</v>
      </c>
      <c r="E139" s="102">
        <v>9</v>
      </c>
      <c r="F139" s="101" t="s">
        <v>68</v>
      </c>
      <c r="G139" s="101" t="s">
        <v>209</v>
      </c>
      <c r="H139" s="102"/>
      <c r="I139" s="97">
        <f>I140</f>
        <v>50000</v>
      </c>
    </row>
    <row r="140" spans="1:9" ht="31.5" x14ac:dyDescent="0.25">
      <c r="A140" s="45" t="s">
        <v>75</v>
      </c>
      <c r="B140" s="101" t="s">
        <v>65</v>
      </c>
      <c r="C140" s="101" t="s">
        <v>99</v>
      </c>
      <c r="D140" s="101" t="s">
        <v>81</v>
      </c>
      <c r="E140" s="102">
        <v>9</v>
      </c>
      <c r="F140" s="101" t="s">
        <v>68</v>
      </c>
      <c r="G140" s="101" t="s">
        <v>209</v>
      </c>
      <c r="H140" s="102">
        <v>240</v>
      </c>
      <c r="I140" s="97">
        <f>'Прил 6'!J133</f>
        <v>50000</v>
      </c>
    </row>
    <row r="141" spans="1:9" x14ac:dyDescent="0.25">
      <c r="A141" s="45" t="s">
        <v>210</v>
      </c>
      <c r="B141" s="101" t="s">
        <v>65</v>
      </c>
      <c r="C141" s="101" t="s">
        <v>99</v>
      </c>
      <c r="D141" s="101" t="s">
        <v>81</v>
      </c>
      <c r="E141" s="102">
        <v>9</v>
      </c>
      <c r="F141" s="101" t="s">
        <v>68</v>
      </c>
      <c r="G141" s="102">
        <v>29090</v>
      </c>
      <c r="H141" s="101"/>
      <c r="I141" s="97">
        <f>I142</f>
        <v>22905</v>
      </c>
    </row>
    <row r="142" spans="1:9" x14ac:dyDescent="0.25">
      <c r="A142" s="45" t="s">
        <v>77</v>
      </c>
      <c r="B142" s="101" t="s">
        <v>65</v>
      </c>
      <c r="C142" s="101" t="s">
        <v>99</v>
      </c>
      <c r="D142" s="101" t="s">
        <v>81</v>
      </c>
      <c r="E142" s="102">
        <v>9</v>
      </c>
      <c r="F142" s="101" t="s">
        <v>68</v>
      </c>
      <c r="G142" s="102">
        <v>29090</v>
      </c>
      <c r="H142" s="101" t="s">
        <v>78</v>
      </c>
      <c r="I142" s="97">
        <f>'Прил 6'!J135</f>
        <v>22905</v>
      </c>
    </row>
    <row r="143" spans="1:9" x14ac:dyDescent="0.25">
      <c r="A143" s="44" t="s">
        <v>302</v>
      </c>
      <c r="B143" s="199" t="s">
        <v>65</v>
      </c>
      <c r="C143" s="199" t="s">
        <v>99</v>
      </c>
      <c r="D143" s="199" t="s">
        <v>81</v>
      </c>
      <c r="E143" s="200">
        <v>9</v>
      </c>
      <c r="F143" s="199" t="s">
        <v>68</v>
      </c>
      <c r="G143" s="199" t="s">
        <v>303</v>
      </c>
      <c r="H143" s="200"/>
      <c r="I143" s="97">
        <f>I144</f>
        <v>62090.85</v>
      </c>
    </row>
    <row r="144" spans="1:9" x14ac:dyDescent="0.25">
      <c r="A144" s="45" t="s">
        <v>105</v>
      </c>
      <c r="B144" s="199" t="s">
        <v>65</v>
      </c>
      <c r="C144" s="199" t="s">
        <v>99</v>
      </c>
      <c r="D144" s="199" t="s">
        <v>81</v>
      </c>
      <c r="E144" s="200">
        <v>9</v>
      </c>
      <c r="F144" s="199" t="s">
        <v>68</v>
      </c>
      <c r="G144" s="199" t="s">
        <v>303</v>
      </c>
      <c r="H144" s="200">
        <v>520</v>
      </c>
      <c r="I144" s="97">
        <f>'Прил 6'!J137</f>
        <v>62090.85</v>
      </c>
    </row>
    <row r="145" spans="1:9" x14ac:dyDescent="0.25">
      <c r="A145" s="50" t="s">
        <v>106</v>
      </c>
      <c r="B145" s="101" t="s">
        <v>66</v>
      </c>
      <c r="C145" s="102" t="s">
        <v>22</v>
      </c>
      <c r="D145" s="101" t="s">
        <v>134</v>
      </c>
      <c r="E145" s="102"/>
      <c r="F145" s="101"/>
      <c r="G145" s="101"/>
      <c r="H145" s="102" t="s">
        <v>135</v>
      </c>
      <c r="I145" s="96">
        <f>I146</f>
        <v>539652.86</v>
      </c>
    </row>
    <row r="146" spans="1:9" x14ac:dyDescent="0.25">
      <c r="A146" s="51" t="s">
        <v>107</v>
      </c>
      <c r="B146" s="101" t="s">
        <v>66</v>
      </c>
      <c r="C146" s="101" t="s">
        <v>72</v>
      </c>
      <c r="D146" s="101" t="s">
        <v>134</v>
      </c>
      <c r="E146" s="102"/>
      <c r="F146" s="101"/>
      <c r="G146" s="101"/>
      <c r="H146" s="102" t="s">
        <v>135</v>
      </c>
      <c r="I146" s="97">
        <f>I147</f>
        <v>539652.86</v>
      </c>
    </row>
    <row r="147" spans="1:9" x14ac:dyDescent="0.25">
      <c r="A147" s="45" t="s">
        <v>80</v>
      </c>
      <c r="B147" s="101" t="s">
        <v>66</v>
      </c>
      <c r="C147" s="101" t="s">
        <v>72</v>
      </c>
      <c r="D147" s="101" t="s">
        <v>81</v>
      </c>
      <c r="E147" s="102">
        <v>0</v>
      </c>
      <c r="F147" s="101" t="s">
        <v>68</v>
      </c>
      <c r="G147" s="101" t="s">
        <v>69</v>
      </c>
      <c r="H147" s="102"/>
      <c r="I147" s="97">
        <f>I148</f>
        <v>539652.86</v>
      </c>
    </row>
    <row r="148" spans="1:9" x14ac:dyDescent="0.25">
      <c r="A148" s="45" t="s">
        <v>207</v>
      </c>
      <c r="B148" s="101" t="s">
        <v>66</v>
      </c>
      <c r="C148" s="101" t="s">
        <v>72</v>
      </c>
      <c r="D148" s="101" t="s">
        <v>81</v>
      </c>
      <c r="E148" s="102">
        <v>9</v>
      </c>
      <c r="F148" s="101" t="s">
        <v>68</v>
      </c>
      <c r="G148" s="101" t="s">
        <v>69</v>
      </c>
      <c r="H148" s="102"/>
      <c r="I148" s="97">
        <f>I149+I151</f>
        <v>539652.86</v>
      </c>
    </row>
    <row r="149" spans="1:9" ht="31.5" x14ac:dyDescent="0.25">
      <c r="A149" s="45" t="s">
        <v>513</v>
      </c>
      <c r="B149" s="202" t="s">
        <v>66</v>
      </c>
      <c r="C149" s="202" t="s">
        <v>72</v>
      </c>
      <c r="D149" s="202" t="s">
        <v>81</v>
      </c>
      <c r="E149" s="203">
        <v>9</v>
      </c>
      <c r="F149" s="202" t="s">
        <v>68</v>
      </c>
      <c r="G149" s="202" t="s">
        <v>139</v>
      </c>
      <c r="H149" s="203"/>
      <c r="I149" s="97">
        <f>I150</f>
        <v>231279.82</v>
      </c>
    </row>
    <row r="150" spans="1:9" x14ac:dyDescent="0.25">
      <c r="A150" s="44" t="s">
        <v>140</v>
      </c>
      <c r="B150" s="202" t="s">
        <v>66</v>
      </c>
      <c r="C150" s="202" t="s">
        <v>72</v>
      </c>
      <c r="D150" s="202" t="s">
        <v>81</v>
      </c>
      <c r="E150" s="203">
        <v>9</v>
      </c>
      <c r="F150" s="202" t="s">
        <v>68</v>
      </c>
      <c r="G150" s="202" t="s">
        <v>139</v>
      </c>
      <c r="H150" s="203">
        <v>120</v>
      </c>
      <c r="I150" s="97">
        <f>'Прил 6'!J143</f>
        <v>231279.82</v>
      </c>
    </row>
    <row r="151" spans="1:9" ht="47.25" x14ac:dyDescent="0.25">
      <c r="A151" s="44" t="s">
        <v>211</v>
      </c>
      <c r="B151" s="101" t="s">
        <v>66</v>
      </c>
      <c r="C151" s="101" t="s">
        <v>72</v>
      </c>
      <c r="D151" s="101" t="s">
        <v>81</v>
      </c>
      <c r="E151" s="102">
        <v>9</v>
      </c>
      <c r="F151" s="101" t="s">
        <v>68</v>
      </c>
      <c r="G151" s="101" t="s">
        <v>108</v>
      </c>
      <c r="H151" s="102"/>
      <c r="I151" s="97">
        <f>SUM(I152:I153)</f>
        <v>308373.03999999998</v>
      </c>
    </row>
    <row r="152" spans="1:9" x14ac:dyDescent="0.25">
      <c r="A152" s="44" t="s">
        <v>140</v>
      </c>
      <c r="B152" s="101" t="s">
        <v>66</v>
      </c>
      <c r="C152" s="101" t="s">
        <v>72</v>
      </c>
      <c r="D152" s="101" t="s">
        <v>81</v>
      </c>
      <c r="E152" s="102">
        <v>9</v>
      </c>
      <c r="F152" s="101" t="s">
        <v>68</v>
      </c>
      <c r="G152" s="101" t="s">
        <v>108</v>
      </c>
      <c r="H152" s="102">
        <v>120</v>
      </c>
      <c r="I152" s="97">
        <f>'Прил 6'!J145</f>
        <v>308373.03999999998</v>
      </c>
    </row>
    <row r="153" spans="1:9" ht="31.5" hidden="1" x14ac:dyDescent="0.25">
      <c r="A153" s="45" t="s">
        <v>75</v>
      </c>
      <c r="B153" s="101" t="s">
        <v>66</v>
      </c>
      <c r="C153" s="101" t="s">
        <v>72</v>
      </c>
      <c r="D153" s="101" t="s">
        <v>81</v>
      </c>
      <c r="E153" s="102">
        <v>9</v>
      </c>
      <c r="F153" s="101" t="s">
        <v>68</v>
      </c>
      <c r="G153" s="101" t="s">
        <v>108</v>
      </c>
      <c r="H153" s="102">
        <v>240</v>
      </c>
      <c r="I153" s="97">
        <f>'Прил 6'!J146</f>
        <v>0</v>
      </c>
    </row>
    <row r="154" spans="1:9" x14ac:dyDescent="0.25">
      <c r="A154" s="50" t="s">
        <v>109</v>
      </c>
      <c r="B154" s="101" t="s">
        <v>72</v>
      </c>
      <c r="C154" s="101"/>
      <c r="D154" s="101"/>
      <c r="E154" s="102"/>
      <c r="F154" s="101"/>
      <c r="G154" s="101"/>
      <c r="H154" s="102"/>
      <c r="I154" s="97">
        <f>I155+I164</f>
        <v>1588178.6</v>
      </c>
    </row>
    <row r="155" spans="1:9" x14ac:dyDescent="0.25">
      <c r="A155" s="44" t="s">
        <v>406</v>
      </c>
      <c r="B155" s="101" t="s">
        <v>72</v>
      </c>
      <c r="C155" s="101" t="s">
        <v>102</v>
      </c>
      <c r="D155" s="101"/>
      <c r="E155" s="102"/>
      <c r="F155" s="101"/>
      <c r="G155" s="101"/>
      <c r="H155" s="102"/>
      <c r="I155" s="97">
        <f>I156</f>
        <v>340000</v>
      </c>
    </row>
    <row r="156" spans="1:9" ht="78.75" x14ac:dyDescent="0.25">
      <c r="A156" s="44" t="s">
        <v>212</v>
      </c>
      <c r="B156" s="101" t="s">
        <v>72</v>
      </c>
      <c r="C156" s="101" t="s">
        <v>102</v>
      </c>
      <c r="D156" s="101" t="s">
        <v>66</v>
      </c>
      <c r="E156" s="102">
        <v>0</v>
      </c>
      <c r="F156" s="101" t="s">
        <v>68</v>
      </c>
      <c r="G156" s="101" t="s">
        <v>69</v>
      </c>
      <c r="H156" s="102"/>
      <c r="I156" s="97">
        <f>I157</f>
        <v>340000</v>
      </c>
    </row>
    <row r="157" spans="1:9" ht="31.5" x14ac:dyDescent="0.25">
      <c r="A157" s="45" t="s">
        <v>213</v>
      </c>
      <c r="B157" s="101" t="s">
        <v>72</v>
      </c>
      <c r="C157" s="101" t="s">
        <v>102</v>
      </c>
      <c r="D157" s="101" t="s">
        <v>66</v>
      </c>
      <c r="E157" s="102">
        <v>1</v>
      </c>
      <c r="F157" s="101" t="s">
        <v>68</v>
      </c>
      <c r="G157" s="101" t="s">
        <v>69</v>
      </c>
      <c r="H157" s="102"/>
      <c r="I157" s="97">
        <f>I158+I160+I162</f>
        <v>340000</v>
      </c>
    </row>
    <row r="158" spans="1:9" hidden="1" x14ac:dyDescent="0.25">
      <c r="A158" s="45" t="s">
        <v>214</v>
      </c>
      <c r="B158" s="101" t="s">
        <v>72</v>
      </c>
      <c r="C158" s="101" t="s">
        <v>102</v>
      </c>
      <c r="D158" s="101" t="s">
        <v>66</v>
      </c>
      <c r="E158" s="102">
        <v>1</v>
      </c>
      <c r="F158" s="101" t="s">
        <v>68</v>
      </c>
      <c r="G158" s="101" t="s">
        <v>215</v>
      </c>
      <c r="H158" s="102"/>
      <c r="I158" s="97">
        <f>I159</f>
        <v>0</v>
      </c>
    </row>
    <row r="159" spans="1:9" ht="31.5" hidden="1" x14ac:dyDescent="0.25">
      <c r="A159" s="45" t="s">
        <v>75</v>
      </c>
      <c r="B159" s="101" t="s">
        <v>72</v>
      </c>
      <c r="C159" s="101" t="s">
        <v>102</v>
      </c>
      <c r="D159" s="101" t="s">
        <v>66</v>
      </c>
      <c r="E159" s="102">
        <v>1</v>
      </c>
      <c r="F159" s="101" t="s">
        <v>68</v>
      </c>
      <c r="G159" s="101" t="s">
        <v>215</v>
      </c>
      <c r="H159" s="102">
        <v>240</v>
      </c>
      <c r="I159" s="97">
        <f>'Прил 6'!J152</f>
        <v>0</v>
      </c>
    </row>
    <row r="160" spans="1:9" ht="31.5" hidden="1" x14ac:dyDescent="0.25">
      <c r="A160" s="45" t="s">
        <v>417</v>
      </c>
      <c r="B160" s="101" t="s">
        <v>72</v>
      </c>
      <c r="C160" s="101" t="s">
        <v>102</v>
      </c>
      <c r="D160" s="101" t="s">
        <v>66</v>
      </c>
      <c r="E160" s="102">
        <v>1</v>
      </c>
      <c r="F160" s="101" t="s">
        <v>68</v>
      </c>
      <c r="G160" s="101" t="s">
        <v>216</v>
      </c>
      <c r="H160" s="102"/>
      <c r="I160" s="97">
        <f>I161</f>
        <v>0</v>
      </c>
    </row>
    <row r="161" spans="1:9" ht="31.5" hidden="1" x14ac:dyDescent="0.25">
      <c r="A161" s="45" t="s">
        <v>75</v>
      </c>
      <c r="B161" s="101" t="s">
        <v>72</v>
      </c>
      <c r="C161" s="101" t="s">
        <v>102</v>
      </c>
      <c r="D161" s="101" t="s">
        <v>66</v>
      </c>
      <c r="E161" s="102">
        <v>1</v>
      </c>
      <c r="F161" s="101" t="s">
        <v>68</v>
      </c>
      <c r="G161" s="101" t="s">
        <v>216</v>
      </c>
      <c r="H161" s="102">
        <v>240</v>
      </c>
      <c r="I161" s="97">
        <f>'Прил 6'!J154</f>
        <v>0</v>
      </c>
    </row>
    <row r="162" spans="1:9" x14ac:dyDescent="0.25">
      <c r="A162" s="45" t="s">
        <v>217</v>
      </c>
      <c r="B162" s="101" t="s">
        <v>72</v>
      </c>
      <c r="C162" s="101" t="s">
        <v>102</v>
      </c>
      <c r="D162" s="101" t="s">
        <v>66</v>
      </c>
      <c r="E162" s="102">
        <v>1</v>
      </c>
      <c r="F162" s="101" t="s">
        <v>68</v>
      </c>
      <c r="G162" s="101" t="s">
        <v>218</v>
      </c>
      <c r="H162" s="102"/>
      <c r="I162" s="97">
        <f>I163</f>
        <v>340000</v>
      </c>
    </row>
    <row r="163" spans="1:9" ht="31.5" x14ac:dyDescent="0.25">
      <c r="A163" s="45" t="s">
        <v>75</v>
      </c>
      <c r="B163" s="101" t="s">
        <v>72</v>
      </c>
      <c r="C163" s="101" t="s">
        <v>102</v>
      </c>
      <c r="D163" s="101" t="s">
        <v>66</v>
      </c>
      <c r="E163" s="102">
        <v>1</v>
      </c>
      <c r="F163" s="101" t="s">
        <v>68</v>
      </c>
      <c r="G163" s="101" t="s">
        <v>218</v>
      </c>
      <c r="H163" s="102">
        <v>240</v>
      </c>
      <c r="I163" s="97">
        <f>'Прил 6'!J156</f>
        <v>340000</v>
      </c>
    </row>
    <row r="164" spans="1:9" ht="31.5" x14ac:dyDescent="0.25">
      <c r="A164" s="45" t="s">
        <v>407</v>
      </c>
      <c r="B164" s="101" t="s">
        <v>72</v>
      </c>
      <c r="C164" s="101" t="s">
        <v>90</v>
      </c>
      <c r="D164" s="101"/>
      <c r="E164" s="102"/>
      <c r="F164" s="101"/>
      <c r="G164" s="101"/>
      <c r="H164" s="102"/>
      <c r="I164" s="97">
        <f>I165+I175</f>
        <v>1248178.6000000001</v>
      </c>
    </row>
    <row r="165" spans="1:9" ht="78.75" x14ac:dyDescent="0.25">
      <c r="A165" s="45" t="s">
        <v>212</v>
      </c>
      <c r="B165" s="101" t="s">
        <v>72</v>
      </c>
      <c r="C165" s="101" t="s">
        <v>90</v>
      </c>
      <c r="D165" s="101" t="s">
        <v>66</v>
      </c>
      <c r="E165" s="102">
        <v>0</v>
      </c>
      <c r="F165" s="101" t="s">
        <v>68</v>
      </c>
      <c r="G165" s="101" t="s">
        <v>69</v>
      </c>
      <c r="H165" s="102"/>
      <c r="I165" s="97">
        <f>I166+I169+I172</f>
        <v>624178.6</v>
      </c>
    </row>
    <row r="166" spans="1:9" ht="47.25" hidden="1" x14ac:dyDescent="0.25">
      <c r="A166" s="52" t="s">
        <v>219</v>
      </c>
      <c r="B166" s="101" t="s">
        <v>72</v>
      </c>
      <c r="C166" s="101" t="s">
        <v>90</v>
      </c>
      <c r="D166" s="101" t="s">
        <v>66</v>
      </c>
      <c r="E166" s="102">
        <v>2</v>
      </c>
      <c r="F166" s="101" t="s">
        <v>68</v>
      </c>
      <c r="G166" s="101" t="s">
        <v>69</v>
      </c>
      <c r="H166" s="102"/>
      <c r="I166" s="97">
        <f>I167</f>
        <v>0</v>
      </c>
    </row>
    <row r="167" spans="1:9" hidden="1" x14ac:dyDescent="0.25">
      <c r="A167" s="52" t="s">
        <v>220</v>
      </c>
      <c r="B167" s="101" t="s">
        <v>72</v>
      </c>
      <c r="C167" s="101" t="s">
        <v>90</v>
      </c>
      <c r="D167" s="101" t="s">
        <v>66</v>
      </c>
      <c r="E167" s="102">
        <v>2</v>
      </c>
      <c r="F167" s="101" t="s">
        <v>68</v>
      </c>
      <c r="G167" s="101" t="s">
        <v>221</v>
      </c>
      <c r="H167" s="102"/>
      <c r="I167" s="97">
        <f>I168</f>
        <v>0</v>
      </c>
    </row>
    <row r="168" spans="1:9" ht="31.5" hidden="1" x14ac:dyDescent="0.25">
      <c r="A168" s="45" t="s">
        <v>75</v>
      </c>
      <c r="B168" s="101" t="s">
        <v>72</v>
      </c>
      <c r="C168" s="101" t="s">
        <v>90</v>
      </c>
      <c r="D168" s="101" t="s">
        <v>66</v>
      </c>
      <c r="E168" s="102">
        <v>2</v>
      </c>
      <c r="F168" s="101" t="s">
        <v>68</v>
      </c>
      <c r="G168" s="101" t="s">
        <v>221</v>
      </c>
      <c r="H168" s="102">
        <v>240</v>
      </c>
      <c r="I168" s="97">
        <f>'Прил 6'!J161</f>
        <v>0</v>
      </c>
    </row>
    <row r="169" spans="1:9" ht="47.25" x14ac:dyDescent="0.25">
      <c r="A169" s="45" t="s">
        <v>222</v>
      </c>
      <c r="B169" s="101" t="s">
        <v>72</v>
      </c>
      <c r="C169" s="101" t="s">
        <v>90</v>
      </c>
      <c r="D169" s="101" t="s">
        <v>66</v>
      </c>
      <c r="E169" s="102">
        <v>3</v>
      </c>
      <c r="F169" s="101" t="s">
        <v>68</v>
      </c>
      <c r="G169" s="101" t="s">
        <v>69</v>
      </c>
      <c r="H169" s="102"/>
      <c r="I169" s="97">
        <f>I170</f>
        <v>352678.6</v>
      </c>
    </row>
    <row r="170" spans="1:9" ht="31.5" x14ac:dyDescent="0.25">
      <c r="A170" s="45" t="s">
        <v>223</v>
      </c>
      <c r="B170" s="101" t="s">
        <v>72</v>
      </c>
      <c r="C170" s="101" t="s">
        <v>90</v>
      </c>
      <c r="D170" s="101" t="s">
        <v>66</v>
      </c>
      <c r="E170" s="102">
        <v>3</v>
      </c>
      <c r="F170" s="101" t="s">
        <v>68</v>
      </c>
      <c r="G170" s="101" t="s">
        <v>224</v>
      </c>
      <c r="H170" s="102"/>
      <c r="I170" s="97">
        <f>I171</f>
        <v>352678.6</v>
      </c>
    </row>
    <row r="171" spans="1:9" ht="31.5" x14ac:dyDescent="0.25">
      <c r="A171" s="45" t="s">
        <v>75</v>
      </c>
      <c r="B171" s="101" t="s">
        <v>72</v>
      </c>
      <c r="C171" s="101" t="s">
        <v>90</v>
      </c>
      <c r="D171" s="101" t="s">
        <v>66</v>
      </c>
      <c r="E171" s="102">
        <v>3</v>
      </c>
      <c r="F171" s="101" t="s">
        <v>68</v>
      </c>
      <c r="G171" s="101" t="s">
        <v>224</v>
      </c>
      <c r="H171" s="102">
        <v>240</v>
      </c>
      <c r="I171" s="97">
        <f>'Прил 6'!J164</f>
        <v>352678.6</v>
      </c>
    </row>
    <row r="172" spans="1:9" x14ac:dyDescent="0.25">
      <c r="A172" s="45" t="s">
        <v>228</v>
      </c>
      <c r="B172" s="101" t="s">
        <v>72</v>
      </c>
      <c r="C172" s="101" t="s">
        <v>90</v>
      </c>
      <c r="D172" s="101" t="s">
        <v>66</v>
      </c>
      <c r="E172" s="102">
        <v>4</v>
      </c>
      <c r="F172" s="101" t="s">
        <v>68</v>
      </c>
      <c r="G172" s="101" t="s">
        <v>69</v>
      </c>
      <c r="H172" s="102"/>
      <c r="I172" s="97">
        <f>I173</f>
        <v>271500</v>
      </c>
    </row>
    <row r="173" spans="1:9" x14ac:dyDescent="0.25">
      <c r="A173" s="45" t="s">
        <v>228</v>
      </c>
      <c r="B173" s="101" t="s">
        <v>72</v>
      </c>
      <c r="C173" s="101" t="s">
        <v>90</v>
      </c>
      <c r="D173" s="101" t="s">
        <v>66</v>
      </c>
      <c r="E173" s="102">
        <v>4</v>
      </c>
      <c r="F173" s="101" t="s">
        <v>68</v>
      </c>
      <c r="G173" s="101" t="s">
        <v>229</v>
      </c>
      <c r="H173" s="102"/>
      <c r="I173" s="97">
        <f>I174</f>
        <v>271500</v>
      </c>
    </row>
    <row r="174" spans="1:9" ht="31.5" x14ac:dyDescent="0.25">
      <c r="A174" s="45" t="s">
        <v>75</v>
      </c>
      <c r="B174" s="101" t="s">
        <v>72</v>
      </c>
      <c r="C174" s="101" t="s">
        <v>90</v>
      </c>
      <c r="D174" s="101" t="s">
        <v>66</v>
      </c>
      <c r="E174" s="102">
        <v>4</v>
      </c>
      <c r="F174" s="101" t="s">
        <v>68</v>
      </c>
      <c r="G174" s="101" t="s">
        <v>229</v>
      </c>
      <c r="H174" s="102">
        <v>240</v>
      </c>
      <c r="I174" s="97">
        <f>'Прил 6'!J167</f>
        <v>271500</v>
      </c>
    </row>
    <row r="175" spans="1:9" ht="31.5" x14ac:dyDescent="0.25">
      <c r="A175" s="45" t="s">
        <v>225</v>
      </c>
      <c r="B175" s="101" t="s">
        <v>72</v>
      </c>
      <c r="C175" s="101" t="s">
        <v>90</v>
      </c>
      <c r="D175" s="101">
        <v>97</v>
      </c>
      <c r="E175" s="102">
        <v>0</v>
      </c>
      <c r="F175" s="101" t="s">
        <v>68</v>
      </c>
      <c r="G175" s="101" t="s">
        <v>69</v>
      </c>
      <c r="H175" s="102"/>
      <c r="I175" s="97">
        <f>I176</f>
        <v>624000</v>
      </c>
    </row>
    <row r="176" spans="1:9" ht="47.25" x14ac:dyDescent="0.25">
      <c r="A176" s="45" t="s">
        <v>152</v>
      </c>
      <c r="B176" s="101" t="s">
        <v>72</v>
      </c>
      <c r="C176" s="101" t="s">
        <v>90</v>
      </c>
      <c r="D176" s="101">
        <v>97</v>
      </c>
      <c r="E176" s="102">
        <v>2</v>
      </c>
      <c r="F176" s="101" t="s">
        <v>68</v>
      </c>
      <c r="G176" s="101" t="s">
        <v>69</v>
      </c>
      <c r="H176" s="102"/>
      <c r="I176" s="97">
        <f>I177+I179</f>
        <v>624000</v>
      </c>
    </row>
    <row r="177" spans="1:9" ht="47.25" x14ac:dyDescent="0.25">
      <c r="A177" s="45" t="s">
        <v>226</v>
      </c>
      <c r="B177" s="101" t="s">
        <v>72</v>
      </c>
      <c r="C177" s="101" t="s">
        <v>90</v>
      </c>
      <c r="D177" s="101" t="s">
        <v>154</v>
      </c>
      <c r="E177" s="102">
        <v>2</v>
      </c>
      <c r="F177" s="101" t="s">
        <v>68</v>
      </c>
      <c r="G177" s="101" t="s">
        <v>227</v>
      </c>
      <c r="H177" s="102"/>
      <c r="I177" s="97">
        <f>I178</f>
        <v>34100</v>
      </c>
    </row>
    <row r="178" spans="1:9" x14ac:dyDescent="0.25">
      <c r="A178" s="48" t="s">
        <v>157</v>
      </c>
      <c r="B178" s="101" t="s">
        <v>72</v>
      </c>
      <c r="C178" s="101" t="s">
        <v>90</v>
      </c>
      <c r="D178" s="101" t="s">
        <v>154</v>
      </c>
      <c r="E178" s="102">
        <v>2</v>
      </c>
      <c r="F178" s="101" t="s">
        <v>68</v>
      </c>
      <c r="G178" s="101" t="s">
        <v>227</v>
      </c>
      <c r="H178" s="102">
        <v>540</v>
      </c>
      <c r="I178" s="97">
        <f>'Прил 6'!J171</f>
        <v>34100</v>
      </c>
    </row>
    <row r="179" spans="1:9" ht="110.25" x14ac:dyDescent="0.25">
      <c r="A179" s="45" t="s">
        <v>408</v>
      </c>
      <c r="B179" s="101" t="s">
        <v>72</v>
      </c>
      <c r="C179" s="101" t="s">
        <v>90</v>
      </c>
      <c r="D179" s="101" t="s">
        <v>154</v>
      </c>
      <c r="E179" s="102">
        <v>2</v>
      </c>
      <c r="F179" s="101" t="s">
        <v>68</v>
      </c>
      <c r="G179" s="101" t="s">
        <v>409</v>
      </c>
      <c r="H179" s="102"/>
      <c r="I179" s="97">
        <f>I180</f>
        <v>589900</v>
      </c>
    </row>
    <row r="180" spans="1:9" x14ac:dyDescent="0.25">
      <c r="A180" s="48" t="s">
        <v>157</v>
      </c>
      <c r="B180" s="101" t="s">
        <v>72</v>
      </c>
      <c r="C180" s="101" t="s">
        <v>90</v>
      </c>
      <c r="D180" s="101" t="s">
        <v>154</v>
      </c>
      <c r="E180" s="102">
        <v>2</v>
      </c>
      <c r="F180" s="101" t="s">
        <v>68</v>
      </c>
      <c r="G180" s="101" t="s">
        <v>409</v>
      </c>
      <c r="H180" s="102">
        <v>540</v>
      </c>
      <c r="I180" s="97">
        <f>'Прил 6'!J173</f>
        <v>589900</v>
      </c>
    </row>
    <row r="181" spans="1:9" x14ac:dyDescent="0.25">
      <c r="A181" s="50" t="s">
        <v>111</v>
      </c>
      <c r="B181" s="101" t="s">
        <v>83</v>
      </c>
      <c r="C181" s="102" t="s">
        <v>22</v>
      </c>
      <c r="D181" s="101"/>
      <c r="E181" s="102"/>
      <c r="F181" s="101"/>
      <c r="G181" s="101"/>
      <c r="H181" s="102"/>
      <c r="I181" s="97">
        <f>I182+I202+I207</f>
        <v>57470729.88000001</v>
      </c>
    </row>
    <row r="182" spans="1:9" x14ac:dyDescent="0.25">
      <c r="A182" s="44" t="s">
        <v>114</v>
      </c>
      <c r="B182" s="101" t="s">
        <v>83</v>
      </c>
      <c r="C182" s="101" t="s">
        <v>102</v>
      </c>
      <c r="D182" s="101"/>
      <c r="E182" s="102"/>
      <c r="F182" s="101"/>
      <c r="G182" s="101"/>
      <c r="H182" s="102"/>
      <c r="I182" s="97">
        <f>I183</f>
        <v>57358793.88000001</v>
      </c>
    </row>
    <row r="183" spans="1:9" ht="47.25" x14ac:dyDescent="0.25">
      <c r="A183" s="44" t="s">
        <v>230</v>
      </c>
      <c r="B183" s="101" t="s">
        <v>83</v>
      </c>
      <c r="C183" s="101" t="s">
        <v>102</v>
      </c>
      <c r="D183" s="101" t="s">
        <v>72</v>
      </c>
      <c r="E183" s="102">
        <v>0</v>
      </c>
      <c r="F183" s="101" t="s">
        <v>68</v>
      </c>
      <c r="G183" s="101" t="s">
        <v>69</v>
      </c>
      <c r="H183" s="102"/>
      <c r="I183" s="97">
        <f>I184</f>
        <v>57358793.88000001</v>
      </c>
    </row>
    <row r="184" spans="1:9" ht="47.25" x14ac:dyDescent="0.25">
      <c r="A184" s="45" t="s">
        <v>231</v>
      </c>
      <c r="B184" s="101" t="s">
        <v>83</v>
      </c>
      <c r="C184" s="101" t="s">
        <v>102</v>
      </c>
      <c r="D184" s="101" t="s">
        <v>72</v>
      </c>
      <c r="E184" s="102">
        <v>1</v>
      </c>
      <c r="F184" s="101" t="s">
        <v>68</v>
      </c>
      <c r="G184" s="101" t="s">
        <v>69</v>
      </c>
      <c r="H184" s="102"/>
      <c r="I184" s="97">
        <f>I185+I188+I190+I192+I194+I198+I200+I196</f>
        <v>57358793.88000001</v>
      </c>
    </row>
    <row r="185" spans="1:9" x14ac:dyDescent="0.25">
      <c r="A185" s="45" t="s">
        <v>232</v>
      </c>
      <c r="B185" s="101" t="s">
        <v>83</v>
      </c>
      <c r="C185" s="101" t="s">
        <v>102</v>
      </c>
      <c r="D185" s="101" t="s">
        <v>72</v>
      </c>
      <c r="E185" s="102">
        <v>1</v>
      </c>
      <c r="F185" s="101" t="s">
        <v>68</v>
      </c>
      <c r="G185" s="101" t="s">
        <v>233</v>
      </c>
      <c r="H185" s="102"/>
      <c r="I185" s="97">
        <f>SUM(I186:I187)</f>
        <v>42619358.420000009</v>
      </c>
    </row>
    <row r="186" spans="1:9" ht="31.5" x14ac:dyDescent="0.25">
      <c r="A186" s="45" t="s">
        <v>75</v>
      </c>
      <c r="B186" s="101" t="s">
        <v>83</v>
      </c>
      <c r="C186" s="101" t="s">
        <v>102</v>
      </c>
      <c r="D186" s="101" t="s">
        <v>72</v>
      </c>
      <c r="E186" s="102">
        <v>1</v>
      </c>
      <c r="F186" s="101" t="s">
        <v>68</v>
      </c>
      <c r="G186" s="101" t="s">
        <v>233</v>
      </c>
      <c r="H186" s="102">
        <v>240</v>
      </c>
      <c r="I186" s="97">
        <f>'Прил 6'!J179</f>
        <v>42619358.420000009</v>
      </c>
    </row>
    <row r="187" spans="1:9" hidden="1" x14ac:dyDescent="0.25">
      <c r="A187" s="45" t="s">
        <v>101</v>
      </c>
      <c r="B187" s="101" t="s">
        <v>83</v>
      </c>
      <c r="C187" s="101" t="s">
        <v>102</v>
      </c>
      <c r="D187" s="101" t="s">
        <v>72</v>
      </c>
      <c r="E187" s="102">
        <v>1</v>
      </c>
      <c r="F187" s="101" t="s">
        <v>68</v>
      </c>
      <c r="G187" s="101" t="s">
        <v>233</v>
      </c>
      <c r="H187" s="102">
        <v>410</v>
      </c>
      <c r="I187" s="97">
        <f>'Прил 6'!J180</f>
        <v>0</v>
      </c>
    </row>
    <row r="188" spans="1:9" hidden="1" x14ac:dyDescent="0.25">
      <c r="A188" s="45" t="s">
        <v>234</v>
      </c>
      <c r="B188" s="101" t="s">
        <v>83</v>
      </c>
      <c r="C188" s="101" t="s">
        <v>102</v>
      </c>
      <c r="D188" s="101" t="s">
        <v>72</v>
      </c>
      <c r="E188" s="102">
        <v>1</v>
      </c>
      <c r="F188" s="101" t="s">
        <v>68</v>
      </c>
      <c r="G188" s="101" t="s">
        <v>235</v>
      </c>
      <c r="H188" s="102"/>
      <c r="I188" s="97">
        <f>I189</f>
        <v>0</v>
      </c>
    </row>
    <row r="189" spans="1:9" ht="31.5" hidden="1" x14ac:dyDescent="0.25">
      <c r="A189" s="45" t="s">
        <v>75</v>
      </c>
      <c r="B189" s="101" t="s">
        <v>83</v>
      </c>
      <c r="C189" s="101" t="s">
        <v>102</v>
      </c>
      <c r="D189" s="101" t="s">
        <v>72</v>
      </c>
      <c r="E189" s="102">
        <v>1</v>
      </c>
      <c r="F189" s="101" t="s">
        <v>68</v>
      </c>
      <c r="G189" s="101" t="s">
        <v>235</v>
      </c>
      <c r="H189" s="102">
        <v>240</v>
      </c>
      <c r="I189" s="97">
        <f>'Прил 6'!J182</f>
        <v>0</v>
      </c>
    </row>
    <row r="190" spans="1:9" hidden="1" x14ac:dyDescent="0.25">
      <c r="A190" s="45" t="s">
        <v>236</v>
      </c>
      <c r="B190" s="101" t="s">
        <v>83</v>
      </c>
      <c r="C190" s="101" t="s">
        <v>102</v>
      </c>
      <c r="D190" s="101" t="s">
        <v>72</v>
      </c>
      <c r="E190" s="102">
        <v>1</v>
      </c>
      <c r="F190" s="101" t="s">
        <v>68</v>
      </c>
      <c r="G190" s="101" t="s">
        <v>237</v>
      </c>
      <c r="H190" s="102"/>
      <c r="I190" s="97">
        <f>I191</f>
        <v>0</v>
      </c>
    </row>
    <row r="191" spans="1:9" hidden="1" x14ac:dyDescent="0.25">
      <c r="A191" s="45" t="s">
        <v>101</v>
      </c>
      <c r="B191" s="101" t="s">
        <v>83</v>
      </c>
      <c r="C191" s="101" t="s">
        <v>102</v>
      </c>
      <c r="D191" s="101" t="s">
        <v>72</v>
      </c>
      <c r="E191" s="102">
        <v>1</v>
      </c>
      <c r="F191" s="101" t="s">
        <v>68</v>
      </c>
      <c r="G191" s="101" t="s">
        <v>237</v>
      </c>
      <c r="H191" s="102">
        <v>410</v>
      </c>
      <c r="I191" s="97">
        <f>'Прил 6'!J184</f>
        <v>0</v>
      </c>
    </row>
    <row r="192" spans="1:9" ht="31.5" hidden="1" x14ac:dyDescent="0.25">
      <c r="A192" s="45" t="s">
        <v>238</v>
      </c>
      <c r="B192" s="101" t="s">
        <v>83</v>
      </c>
      <c r="C192" s="101" t="s">
        <v>102</v>
      </c>
      <c r="D192" s="101" t="s">
        <v>72</v>
      </c>
      <c r="E192" s="102">
        <v>1</v>
      </c>
      <c r="F192" s="101" t="s">
        <v>68</v>
      </c>
      <c r="G192" s="101" t="s">
        <v>239</v>
      </c>
      <c r="H192" s="102"/>
      <c r="I192" s="97">
        <f>I193</f>
        <v>0</v>
      </c>
    </row>
    <row r="193" spans="1:9" ht="31.5" hidden="1" x14ac:dyDescent="0.25">
      <c r="A193" s="45" t="s">
        <v>75</v>
      </c>
      <c r="B193" s="101" t="s">
        <v>83</v>
      </c>
      <c r="C193" s="101" t="s">
        <v>102</v>
      </c>
      <c r="D193" s="101" t="s">
        <v>72</v>
      </c>
      <c r="E193" s="102">
        <v>1</v>
      </c>
      <c r="F193" s="101" t="s">
        <v>68</v>
      </c>
      <c r="G193" s="101" t="s">
        <v>239</v>
      </c>
      <c r="H193" s="102">
        <v>240</v>
      </c>
      <c r="I193" s="97">
        <f>'Прил 6'!J186</f>
        <v>0</v>
      </c>
    </row>
    <row r="194" spans="1:9" hidden="1" x14ac:dyDescent="0.25">
      <c r="A194" s="45" t="s">
        <v>410</v>
      </c>
      <c r="B194" s="101" t="s">
        <v>83</v>
      </c>
      <c r="C194" s="101" t="s">
        <v>102</v>
      </c>
      <c r="D194" s="101" t="s">
        <v>72</v>
      </c>
      <c r="E194" s="102">
        <v>1</v>
      </c>
      <c r="F194" s="101" t="s">
        <v>68</v>
      </c>
      <c r="G194" s="101" t="s">
        <v>411</v>
      </c>
      <c r="H194" s="102"/>
      <c r="I194" s="97">
        <f>I195</f>
        <v>0</v>
      </c>
    </row>
    <row r="195" spans="1:9" hidden="1" x14ac:dyDescent="0.25">
      <c r="A195" s="45" t="s">
        <v>101</v>
      </c>
      <c r="B195" s="101" t="s">
        <v>83</v>
      </c>
      <c r="C195" s="101" t="s">
        <v>102</v>
      </c>
      <c r="D195" s="101" t="s">
        <v>72</v>
      </c>
      <c r="E195" s="102">
        <v>1</v>
      </c>
      <c r="F195" s="101" t="s">
        <v>68</v>
      </c>
      <c r="G195" s="101" t="s">
        <v>411</v>
      </c>
      <c r="H195" s="102">
        <v>410</v>
      </c>
      <c r="I195" s="97">
        <f>'Прил 6'!J188</f>
        <v>0</v>
      </c>
    </row>
    <row r="196" spans="1:9" x14ac:dyDescent="0.25">
      <c r="A196" s="45" t="s">
        <v>240</v>
      </c>
      <c r="B196" s="101" t="s">
        <v>83</v>
      </c>
      <c r="C196" s="101" t="s">
        <v>102</v>
      </c>
      <c r="D196" s="101" t="s">
        <v>72</v>
      </c>
      <c r="E196" s="102">
        <v>1</v>
      </c>
      <c r="F196" s="101" t="s">
        <v>68</v>
      </c>
      <c r="G196" s="101" t="s">
        <v>241</v>
      </c>
      <c r="H196" s="102"/>
      <c r="I196" s="97">
        <f>I197</f>
        <v>7450443.7300000004</v>
      </c>
    </row>
    <row r="197" spans="1:9" ht="31.5" x14ac:dyDescent="0.25">
      <c r="A197" s="45" t="s">
        <v>75</v>
      </c>
      <c r="B197" s="101" t="s">
        <v>83</v>
      </c>
      <c r="C197" s="101" t="s">
        <v>102</v>
      </c>
      <c r="D197" s="101" t="s">
        <v>72</v>
      </c>
      <c r="E197" s="102">
        <v>1</v>
      </c>
      <c r="F197" s="101" t="s">
        <v>68</v>
      </c>
      <c r="G197" s="101" t="s">
        <v>241</v>
      </c>
      <c r="H197" s="102">
        <v>240</v>
      </c>
      <c r="I197" s="97">
        <f>'Прил 6'!J190</f>
        <v>7450443.7300000004</v>
      </c>
    </row>
    <row r="198" spans="1:9" hidden="1" x14ac:dyDescent="0.25">
      <c r="A198" s="45" t="s">
        <v>242</v>
      </c>
      <c r="B198" s="101" t="s">
        <v>83</v>
      </c>
      <c r="C198" s="101" t="s">
        <v>102</v>
      </c>
      <c r="D198" s="101" t="s">
        <v>72</v>
      </c>
      <c r="E198" s="102">
        <v>1</v>
      </c>
      <c r="F198" s="101" t="s">
        <v>68</v>
      </c>
      <c r="G198" s="101" t="s">
        <v>243</v>
      </c>
      <c r="H198" s="102"/>
      <c r="I198" s="97">
        <f>I199</f>
        <v>0</v>
      </c>
    </row>
    <row r="199" spans="1:9" hidden="1" x14ac:dyDescent="0.25">
      <c r="A199" s="45" t="s">
        <v>101</v>
      </c>
      <c r="B199" s="101" t="s">
        <v>83</v>
      </c>
      <c r="C199" s="101" t="s">
        <v>102</v>
      </c>
      <c r="D199" s="101" t="s">
        <v>72</v>
      </c>
      <c r="E199" s="102">
        <v>1</v>
      </c>
      <c r="F199" s="101" t="s">
        <v>68</v>
      </c>
      <c r="G199" s="101" t="s">
        <v>243</v>
      </c>
      <c r="H199" s="102">
        <v>410</v>
      </c>
      <c r="I199" s="97">
        <f>'Прил 6'!J192</f>
        <v>0</v>
      </c>
    </row>
    <row r="200" spans="1:9" x14ac:dyDescent="0.25">
      <c r="A200" s="45" t="s">
        <v>244</v>
      </c>
      <c r="B200" s="101" t="s">
        <v>83</v>
      </c>
      <c r="C200" s="101" t="s">
        <v>102</v>
      </c>
      <c r="D200" s="101" t="s">
        <v>72</v>
      </c>
      <c r="E200" s="102">
        <v>1</v>
      </c>
      <c r="F200" s="101" t="s">
        <v>68</v>
      </c>
      <c r="G200" s="101" t="s">
        <v>245</v>
      </c>
      <c r="H200" s="102"/>
      <c r="I200" s="97">
        <f>I201</f>
        <v>7288991.7300000004</v>
      </c>
    </row>
    <row r="201" spans="1:9" ht="31.5" x14ac:dyDescent="0.25">
      <c r="A201" s="45" t="s">
        <v>75</v>
      </c>
      <c r="B201" s="101" t="s">
        <v>83</v>
      </c>
      <c r="C201" s="101" t="s">
        <v>102</v>
      </c>
      <c r="D201" s="101" t="s">
        <v>72</v>
      </c>
      <c r="E201" s="102">
        <v>1</v>
      </c>
      <c r="F201" s="101" t="s">
        <v>68</v>
      </c>
      <c r="G201" s="101" t="s">
        <v>245</v>
      </c>
      <c r="H201" s="102">
        <v>240</v>
      </c>
      <c r="I201" s="97">
        <f>'Прил 6'!J194</f>
        <v>7288991.7300000004</v>
      </c>
    </row>
    <row r="202" spans="1:9" x14ac:dyDescent="0.25">
      <c r="A202" s="45" t="s">
        <v>115</v>
      </c>
      <c r="B202" s="101" t="s">
        <v>83</v>
      </c>
      <c r="C202" s="101" t="s">
        <v>90</v>
      </c>
      <c r="D202" s="101"/>
      <c r="E202" s="101"/>
      <c r="F202" s="101"/>
      <c r="G202" s="101"/>
      <c r="H202" s="102" t="s">
        <v>135</v>
      </c>
      <c r="I202" s="97">
        <f>I203</f>
        <v>81936</v>
      </c>
    </row>
    <row r="203" spans="1:9" x14ac:dyDescent="0.25">
      <c r="A203" s="45" t="s">
        <v>80</v>
      </c>
      <c r="B203" s="101" t="s">
        <v>83</v>
      </c>
      <c r="C203" s="101" t="s">
        <v>90</v>
      </c>
      <c r="D203" s="101" t="s">
        <v>81</v>
      </c>
      <c r="E203" s="102">
        <v>0</v>
      </c>
      <c r="F203" s="101" t="s">
        <v>68</v>
      </c>
      <c r="G203" s="101" t="s">
        <v>69</v>
      </c>
      <c r="H203" s="102"/>
      <c r="I203" s="97">
        <f>I204</f>
        <v>81936</v>
      </c>
    </row>
    <row r="204" spans="1:9" x14ac:dyDescent="0.25">
      <c r="A204" s="45" t="s">
        <v>207</v>
      </c>
      <c r="B204" s="101" t="s">
        <v>83</v>
      </c>
      <c r="C204" s="101" t="s">
        <v>90</v>
      </c>
      <c r="D204" s="101" t="s">
        <v>81</v>
      </c>
      <c r="E204" s="102">
        <v>9</v>
      </c>
      <c r="F204" s="101" t="s">
        <v>68</v>
      </c>
      <c r="G204" s="101" t="s">
        <v>69</v>
      </c>
      <c r="H204" s="102"/>
      <c r="I204" s="97">
        <f>I205</f>
        <v>81936</v>
      </c>
    </row>
    <row r="205" spans="1:9" ht="31.5" x14ac:dyDescent="0.25">
      <c r="A205" s="45" t="s">
        <v>246</v>
      </c>
      <c r="B205" s="101" t="s">
        <v>83</v>
      </c>
      <c r="C205" s="101" t="s">
        <v>90</v>
      </c>
      <c r="D205" s="101" t="s">
        <v>81</v>
      </c>
      <c r="E205" s="102">
        <v>9</v>
      </c>
      <c r="F205" s="101" t="s">
        <v>68</v>
      </c>
      <c r="G205" s="101" t="s">
        <v>116</v>
      </c>
      <c r="H205" s="102"/>
      <c r="I205" s="97">
        <f>I206</f>
        <v>81936</v>
      </c>
    </row>
    <row r="206" spans="1:9" ht="31.5" x14ac:dyDescent="0.25">
      <c r="A206" s="45" t="s">
        <v>75</v>
      </c>
      <c r="B206" s="101" t="s">
        <v>83</v>
      </c>
      <c r="C206" s="101" t="s">
        <v>90</v>
      </c>
      <c r="D206" s="101" t="s">
        <v>81</v>
      </c>
      <c r="E206" s="102">
        <v>9</v>
      </c>
      <c r="F206" s="101" t="s">
        <v>68</v>
      </c>
      <c r="G206" s="101" t="s">
        <v>116</v>
      </c>
      <c r="H206" s="102">
        <v>240</v>
      </c>
      <c r="I206" s="97">
        <f>'Прил 6'!J199</f>
        <v>81936</v>
      </c>
    </row>
    <row r="207" spans="1:9" x14ac:dyDescent="0.25">
      <c r="A207" s="44" t="s">
        <v>117</v>
      </c>
      <c r="B207" s="101" t="s">
        <v>83</v>
      </c>
      <c r="C207" s="101" t="s">
        <v>97</v>
      </c>
      <c r="D207" s="101"/>
      <c r="E207" s="101"/>
      <c r="F207" s="101"/>
      <c r="G207" s="101"/>
      <c r="H207" s="102" t="s">
        <v>135</v>
      </c>
      <c r="I207" s="96">
        <f>I208</f>
        <v>30000</v>
      </c>
    </row>
    <row r="208" spans="1:9" ht="47.25" x14ac:dyDescent="0.25">
      <c r="A208" s="45" t="s">
        <v>247</v>
      </c>
      <c r="B208" s="101" t="s">
        <v>83</v>
      </c>
      <c r="C208" s="101" t="s">
        <v>97</v>
      </c>
      <c r="D208" s="101" t="s">
        <v>83</v>
      </c>
      <c r="E208" s="102">
        <v>0</v>
      </c>
      <c r="F208" s="101" t="s">
        <v>68</v>
      </c>
      <c r="G208" s="101" t="s">
        <v>69</v>
      </c>
      <c r="H208" s="102"/>
      <c r="I208" s="97">
        <f>I209</f>
        <v>30000</v>
      </c>
    </row>
    <row r="209" spans="1:9" x14ac:dyDescent="0.25">
      <c r="A209" s="45" t="s">
        <v>249</v>
      </c>
      <c r="B209" s="101" t="s">
        <v>83</v>
      </c>
      <c r="C209" s="101" t="s">
        <v>97</v>
      </c>
      <c r="D209" s="101" t="s">
        <v>83</v>
      </c>
      <c r="E209" s="102">
        <v>0</v>
      </c>
      <c r="F209" s="101" t="s">
        <v>68</v>
      </c>
      <c r="G209" s="101" t="s">
        <v>250</v>
      </c>
      <c r="H209" s="102"/>
      <c r="I209" s="97">
        <f>I210</f>
        <v>30000</v>
      </c>
    </row>
    <row r="210" spans="1:9" ht="31.5" x14ac:dyDescent="0.25">
      <c r="A210" s="45" t="s">
        <v>248</v>
      </c>
      <c r="B210" s="101" t="s">
        <v>83</v>
      </c>
      <c r="C210" s="101" t="s">
        <v>97</v>
      </c>
      <c r="D210" s="101" t="s">
        <v>83</v>
      </c>
      <c r="E210" s="102">
        <v>0</v>
      </c>
      <c r="F210" s="101" t="s">
        <v>68</v>
      </c>
      <c r="G210" s="101" t="s">
        <v>250</v>
      </c>
      <c r="H210" s="102">
        <v>810</v>
      </c>
      <c r="I210" s="97">
        <f>'Прил 6'!J203</f>
        <v>30000</v>
      </c>
    </row>
    <row r="211" spans="1:9" x14ac:dyDescent="0.25">
      <c r="A211" s="50" t="s">
        <v>424</v>
      </c>
      <c r="B211" s="101" t="s">
        <v>84</v>
      </c>
      <c r="C211" s="102" t="s">
        <v>22</v>
      </c>
      <c r="D211" s="101"/>
      <c r="E211" s="102"/>
      <c r="F211" s="101"/>
      <c r="G211" s="101"/>
      <c r="H211" s="102"/>
      <c r="I211" s="97">
        <f>I212+I224+I267</f>
        <v>97628238.600000009</v>
      </c>
    </row>
    <row r="212" spans="1:9" x14ac:dyDescent="0.25">
      <c r="A212" s="44" t="s">
        <v>118</v>
      </c>
      <c r="B212" s="101" t="s">
        <v>84</v>
      </c>
      <c r="C212" s="102" t="s">
        <v>65</v>
      </c>
      <c r="D212" s="101" t="s">
        <v>68</v>
      </c>
      <c r="E212" s="102">
        <v>0</v>
      </c>
      <c r="F212" s="101" t="s">
        <v>68</v>
      </c>
      <c r="G212" s="101" t="s">
        <v>69</v>
      </c>
      <c r="H212" s="102"/>
      <c r="I212" s="97">
        <f>I213+I220</f>
        <v>21215621.52</v>
      </c>
    </row>
    <row r="213" spans="1:9" ht="47.25" x14ac:dyDescent="0.25">
      <c r="A213" s="45" t="s">
        <v>251</v>
      </c>
      <c r="B213" s="101" t="s">
        <v>84</v>
      </c>
      <c r="C213" s="101" t="s">
        <v>65</v>
      </c>
      <c r="D213" s="101" t="s">
        <v>84</v>
      </c>
      <c r="E213" s="102">
        <v>0</v>
      </c>
      <c r="F213" s="101" t="s">
        <v>68</v>
      </c>
      <c r="G213" s="101" t="s">
        <v>69</v>
      </c>
      <c r="H213" s="102"/>
      <c r="I213" s="97">
        <f>I214+I217</f>
        <v>19675200</v>
      </c>
    </row>
    <row r="214" spans="1:9" x14ac:dyDescent="0.25">
      <c r="A214" s="45" t="s">
        <v>252</v>
      </c>
      <c r="B214" s="101" t="s">
        <v>84</v>
      </c>
      <c r="C214" s="101" t="s">
        <v>65</v>
      </c>
      <c r="D214" s="101" t="s">
        <v>84</v>
      </c>
      <c r="E214" s="102">
        <v>1</v>
      </c>
      <c r="F214" s="101" t="s">
        <v>68</v>
      </c>
      <c r="G214" s="101" t="s">
        <v>69</v>
      </c>
      <c r="H214" s="102"/>
      <c r="I214" s="97">
        <f>I215</f>
        <v>50000</v>
      </c>
    </row>
    <row r="215" spans="1:9" x14ac:dyDescent="0.25">
      <c r="A215" s="45" t="s">
        <v>253</v>
      </c>
      <c r="B215" s="101" t="s">
        <v>84</v>
      </c>
      <c r="C215" s="101" t="s">
        <v>65</v>
      </c>
      <c r="D215" s="101" t="s">
        <v>84</v>
      </c>
      <c r="E215" s="102">
        <v>1</v>
      </c>
      <c r="F215" s="101" t="s">
        <v>68</v>
      </c>
      <c r="G215" s="101" t="s">
        <v>254</v>
      </c>
      <c r="H215" s="102"/>
      <c r="I215" s="97">
        <f>I216</f>
        <v>50000</v>
      </c>
    </row>
    <row r="216" spans="1:9" ht="31.5" x14ac:dyDescent="0.25">
      <c r="A216" s="45" t="s">
        <v>75</v>
      </c>
      <c r="B216" s="101" t="s">
        <v>84</v>
      </c>
      <c r="C216" s="101" t="s">
        <v>65</v>
      </c>
      <c r="D216" s="101" t="s">
        <v>84</v>
      </c>
      <c r="E216" s="102">
        <v>1</v>
      </c>
      <c r="F216" s="101" t="s">
        <v>68</v>
      </c>
      <c r="G216" s="101" t="s">
        <v>254</v>
      </c>
      <c r="H216" s="102">
        <v>240</v>
      </c>
      <c r="I216" s="97">
        <f>'Прил 6'!J209</f>
        <v>50000</v>
      </c>
    </row>
    <row r="217" spans="1:9" ht="31.5" x14ac:dyDescent="0.25">
      <c r="A217" s="45" t="s">
        <v>256</v>
      </c>
      <c r="B217" s="101" t="s">
        <v>84</v>
      </c>
      <c r="C217" s="101" t="s">
        <v>65</v>
      </c>
      <c r="D217" s="101" t="s">
        <v>84</v>
      </c>
      <c r="E217" s="102">
        <v>6</v>
      </c>
      <c r="F217" s="101" t="s">
        <v>68</v>
      </c>
      <c r="G217" s="101" t="s">
        <v>69</v>
      </c>
      <c r="H217" s="102"/>
      <c r="I217" s="97">
        <f>I218</f>
        <v>19625200</v>
      </c>
    </row>
    <row r="218" spans="1:9" x14ac:dyDescent="0.25">
      <c r="A218" s="45" t="s">
        <v>257</v>
      </c>
      <c r="B218" s="101" t="s">
        <v>84</v>
      </c>
      <c r="C218" s="101" t="s">
        <v>65</v>
      </c>
      <c r="D218" s="101" t="s">
        <v>84</v>
      </c>
      <c r="E218" s="102">
        <v>6</v>
      </c>
      <c r="F218" s="101" t="s">
        <v>68</v>
      </c>
      <c r="G218" s="101" t="s">
        <v>258</v>
      </c>
      <c r="H218" s="102"/>
      <c r="I218" s="97">
        <f>I219</f>
        <v>19625200</v>
      </c>
    </row>
    <row r="219" spans="1:9" x14ac:dyDescent="0.25">
      <c r="A219" s="45" t="s">
        <v>101</v>
      </c>
      <c r="B219" s="101" t="s">
        <v>84</v>
      </c>
      <c r="C219" s="101" t="s">
        <v>65</v>
      </c>
      <c r="D219" s="101" t="s">
        <v>84</v>
      </c>
      <c r="E219" s="102">
        <v>6</v>
      </c>
      <c r="F219" s="101" t="s">
        <v>68</v>
      </c>
      <c r="G219" s="101" t="s">
        <v>258</v>
      </c>
      <c r="H219" s="102">
        <v>410</v>
      </c>
      <c r="I219" s="97">
        <f>'Прил 6'!J212</f>
        <v>19625200</v>
      </c>
    </row>
    <row r="220" spans="1:9" x14ac:dyDescent="0.25">
      <c r="A220" s="45" t="s">
        <v>80</v>
      </c>
      <c r="B220" s="101" t="s">
        <v>84</v>
      </c>
      <c r="C220" s="102" t="s">
        <v>65</v>
      </c>
      <c r="D220" s="101" t="s">
        <v>81</v>
      </c>
      <c r="E220" s="102">
        <v>0</v>
      </c>
      <c r="F220" s="101" t="s">
        <v>68</v>
      </c>
      <c r="G220" s="101" t="s">
        <v>69</v>
      </c>
      <c r="H220" s="102"/>
      <c r="I220" s="97">
        <f>I221</f>
        <v>1540421.52</v>
      </c>
    </row>
    <row r="221" spans="1:9" x14ac:dyDescent="0.25">
      <c r="A221" s="45" t="s">
        <v>207</v>
      </c>
      <c r="B221" s="101" t="s">
        <v>84</v>
      </c>
      <c r="C221" s="102" t="s">
        <v>65</v>
      </c>
      <c r="D221" s="101" t="s">
        <v>81</v>
      </c>
      <c r="E221" s="102">
        <v>9</v>
      </c>
      <c r="F221" s="101" t="s">
        <v>68</v>
      </c>
      <c r="G221" s="101" t="s">
        <v>69</v>
      </c>
      <c r="H221" s="102"/>
      <c r="I221" s="97">
        <f>I222</f>
        <v>1540421.52</v>
      </c>
    </row>
    <row r="222" spans="1:9" ht="31.5" x14ac:dyDescent="0.25">
      <c r="A222" s="45" t="s">
        <v>259</v>
      </c>
      <c r="B222" s="101" t="s">
        <v>84</v>
      </c>
      <c r="C222" s="102" t="s">
        <v>65</v>
      </c>
      <c r="D222" s="101" t="s">
        <v>81</v>
      </c>
      <c r="E222" s="102">
        <v>9</v>
      </c>
      <c r="F222" s="101" t="s">
        <v>68</v>
      </c>
      <c r="G222" s="101" t="s">
        <v>260</v>
      </c>
      <c r="H222" s="102"/>
      <c r="I222" s="97">
        <f>I223</f>
        <v>1540421.52</v>
      </c>
    </row>
    <row r="223" spans="1:9" ht="31.5" x14ac:dyDescent="0.25">
      <c r="A223" s="45" t="s">
        <v>75</v>
      </c>
      <c r="B223" s="101" t="s">
        <v>84</v>
      </c>
      <c r="C223" s="102" t="s">
        <v>65</v>
      </c>
      <c r="D223" s="101" t="s">
        <v>81</v>
      </c>
      <c r="E223" s="102">
        <v>9</v>
      </c>
      <c r="F223" s="101" t="s">
        <v>68</v>
      </c>
      <c r="G223" s="101" t="s">
        <v>260</v>
      </c>
      <c r="H223" s="102">
        <v>240</v>
      </c>
      <c r="I223" s="97">
        <f>'Прил 6'!J216</f>
        <v>1540421.52</v>
      </c>
    </row>
    <row r="224" spans="1:9" x14ac:dyDescent="0.25">
      <c r="A224" s="44" t="s">
        <v>119</v>
      </c>
      <c r="B224" s="101" t="s">
        <v>84</v>
      </c>
      <c r="C224" s="102" t="s">
        <v>72</v>
      </c>
      <c r="D224" s="101" t="s">
        <v>134</v>
      </c>
      <c r="E224" s="102"/>
      <c r="F224" s="101"/>
      <c r="G224" s="101"/>
      <c r="H224" s="102"/>
      <c r="I224" s="96">
        <f>I225+I252+I263</f>
        <v>50540520.690000005</v>
      </c>
    </row>
    <row r="225" spans="1:9" ht="47.25" x14ac:dyDescent="0.25">
      <c r="A225" s="44" t="s">
        <v>230</v>
      </c>
      <c r="B225" s="101" t="s">
        <v>84</v>
      </c>
      <c r="C225" s="101" t="s">
        <v>72</v>
      </c>
      <c r="D225" s="101" t="s">
        <v>72</v>
      </c>
      <c r="E225" s="102">
        <v>0</v>
      </c>
      <c r="F225" s="101" t="s">
        <v>68</v>
      </c>
      <c r="G225" s="101" t="s">
        <v>69</v>
      </c>
      <c r="H225" s="102"/>
      <c r="I225" s="97">
        <f>I226+I233</f>
        <v>49996592.010000005</v>
      </c>
    </row>
    <row r="226" spans="1:9" ht="31.5" x14ac:dyDescent="0.25">
      <c r="A226" s="45" t="s">
        <v>261</v>
      </c>
      <c r="B226" s="101" t="s">
        <v>84</v>
      </c>
      <c r="C226" s="101" t="s">
        <v>72</v>
      </c>
      <c r="D226" s="101" t="s">
        <v>72</v>
      </c>
      <c r="E226" s="102">
        <v>2</v>
      </c>
      <c r="F226" s="101" t="s">
        <v>68</v>
      </c>
      <c r="G226" s="101" t="s">
        <v>69</v>
      </c>
      <c r="H226" s="102"/>
      <c r="I226" s="97">
        <f>I227+I229+I231</f>
        <v>10638304.280000001</v>
      </c>
    </row>
    <row r="227" spans="1:9" x14ac:dyDescent="0.25">
      <c r="A227" s="45" t="s">
        <v>262</v>
      </c>
      <c r="B227" s="101" t="s">
        <v>84</v>
      </c>
      <c r="C227" s="101" t="s">
        <v>72</v>
      </c>
      <c r="D227" s="101" t="s">
        <v>72</v>
      </c>
      <c r="E227" s="102">
        <v>2</v>
      </c>
      <c r="F227" s="101" t="s">
        <v>68</v>
      </c>
      <c r="G227" s="101" t="s">
        <v>255</v>
      </c>
      <c r="H227" s="102"/>
      <c r="I227" s="97">
        <f>I228</f>
        <v>720000</v>
      </c>
    </row>
    <row r="228" spans="1:9" x14ac:dyDescent="0.25">
      <c r="A228" s="45" t="s">
        <v>101</v>
      </c>
      <c r="B228" s="101" t="s">
        <v>84</v>
      </c>
      <c r="C228" s="101" t="s">
        <v>72</v>
      </c>
      <c r="D228" s="101" t="s">
        <v>72</v>
      </c>
      <c r="E228" s="102">
        <v>2</v>
      </c>
      <c r="F228" s="101" t="s">
        <v>68</v>
      </c>
      <c r="G228" s="101" t="s">
        <v>255</v>
      </c>
      <c r="H228" s="102">
        <v>410</v>
      </c>
      <c r="I228" s="97">
        <f>'Прил 6'!J221</f>
        <v>720000</v>
      </c>
    </row>
    <row r="229" spans="1:9" x14ac:dyDescent="0.25">
      <c r="A229" s="45" t="s">
        <v>263</v>
      </c>
      <c r="B229" s="101" t="s">
        <v>84</v>
      </c>
      <c r="C229" s="101" t="s">
        <v>72</v>
      </c>
      <c r="D229" s="101" t="s">
        <v>72</v>
      </c>
      <c r="E229" s="102">
        <v>2</v>
      </c>
      <c r="F229" s="101" t="s">
        <v>68</v>
      </c>
      <c r="G229" s="101" t="s">
        <v>264</v>
      </c>
      <c r="H229" s="102"/>
      <c r="I229" s="97">
        <f>I230</f>
        <v>7318304.2800000003</v>
      </c>
    </row>
    <row r="230" spans="1:9" ht="31.5" x14ac:dyDescent="0.25">
      <c r="A230" s="45" t="s">
        <v>75</v>
      </c>
      <c r="B230" s="101" t="s">
        <v>84</v>
      </c>
      <c r="C230" s="101" t="s">
        <v>72</v>
      </c>
      <c r="D230" s="101" t="s">
        <v>72</v>
      </c>
      <c r="E230" s="102">
        <v>2</v>
      </c>
      <c r="F230" s="101" t="s">
        <v>68</v>
      </c>
      <c r="G230" s="101" t="s">
        <v>264</v>
      </c>
      <c r="H230" s="102">
        <v>240</v>
      </c>
      <c r="I230" s="97">
        <f>'Прил 6'!J223</f>
        <v>7318304.2800000003</v>
      </c>
    </row>
    <row r="231" spans="1:9" x14ac:dyDescent="0.25">
      <c r="A231" s="45" t="s">
        <v>265</v>
      </c>
      <c r="B231" s="101" t="s">
        <v>84</v>
      </c>
      <c r="C231" s="101" t="s">
        <v>72</v>
      </c>
      <c r="D231" s="101" t="s">
        <v>72</v>
      </c>
      <c r="E231" s="102">
        <v>2</v>
      </c>
      <c r="F231" s="101" t="s">
        <v>68</v>
      </c>
      <c r="G231" s="101" t="s">
        <v>266</v>
      </c>
      <c r="H231" s="102"/>
      <c r="I231" s="97">
        <f>I232</f>
        <v>2600000</v>
      </c>
    </row>
    <row r="232" spans="1:9" ht="31.5" x14ac:dyDescent="0.25">
      <c r="A232" s="45" t="s">
        <v>75</v>
      </c>
      <c r="B232" s="101" t="s">
        <v>84</v>
      </c>
      <c r="C232" s="101" t="s">
        <v>72</v>
      </c>
      <c r="D232" s="101" t="s">
        <v>72</v>
      </c>
      <c r="E232" s="102">
        <v>2</v>
      </c>
      <c r="F232" s="101" t="s">
        <v>68</v>
      </c>
      <c r="G232" s="101" t="s">
        <v>266</v>
      </c>
      <c r="H232" s="102">
        <v>240</v>
      </c>
      <c r="I232" s="97">
        <f>'Прил 6'!J225</f>
        <v>2600000</v>
      </c>
    </row>
    <row r="233" spans="1:9" ht="31.5" x14ac:dyDescent="0.25">
      <c r="A233" s="45" t="s">
        <v>267</v>
      </c>
      <c r="B233" s="101" t="s">
        <v>84</v>
      </c>
      <c r="C233" s="101" t="s">
        <v>72</v>
      </c>
      <c r="D233" s="101" t="s">
        <v>72</v>
      </c>
      <c r="E233" s="102">
        <v>3</v>
      </c>
      <c r="F233" s="101" t="s">
        <v>68</v>
      </c>
      <c r="G233" s="101" t="s">
        <v>69</v>
      </c>
      <c r="H233" s="102"/>
      <c r="I233" s="97">
        <f>I234+I236+I238+I240+I242+I244+I246+I248+I250</f>
        <v>39358287.730000004</v>
      </c>
    </row>
    <row r="234" spans="1:9" ht="31.5" x14ac:dyDescent="0.25">
      <c r="A234" s="45" t="s">
        <v>447</v>
      </c>
      <c r="B234" s="120" t="s">
        <v>84</v>
      </c>
      <c r="C234" s="120" t="s">
        <v>72</v>
      </c>
      <c r="D234" s="120" t="s">
        <v>72</v>
      </c>
      <c r="E234" s="121">
        <v>3</v>
      </c>
      <c r="F234" s="120" t="s">
        <v>68</v>
      </c>
      <c r="G234" s="122" t="s">
        <v>446</v>
      </c>
      <c r="H234" s="121"/>
      <c r="I234" s="97">
        <f>I235</f>
        <v>2107912.62</v>
      </c>
    </row>
    <row r="235" spans="1:9" ht="31.5" x14ac:dyDescent="0.25">
      <c r="A235" s="45" t="s">
        <v>75</v>
      </c>
      <c r="B235" s="120" t="s">
        <v>84</v>
      </c>
      <c r="C235" s="120" t="s">
        <v>72</v>
      </c>
      <c r="D235" s="120" t="s">
        <v>72</v>
      </c>
      <c r="E235" s="121">
        <v>3</v>
      </c>
      <c r="F235" s="120" t="s">
        <v>68</v>
      </c>
      <c r="G235" s="122" t="s">
        <v>446</v>
      </c>
      <c r="H235" s="121">
        <v>240</v>
      </c>
      <c r="I235" s="97">
        <f>'Прил 6'!J228</f>
        <v>2107912.62</v>
      </c>
    </row>
    <row r="236" spans="1:9" x14ac:dyDescent="0.25">
      <c r="A236" s="45" t="s">
        <v>268</v>
      </c>
      <c r="B236" s="101" t="s">
        <v>84</v>
      </c>
      <c r="C236" s="101" t="s">
        <v>72</v>
      </c>
      <c r="D236" s="101" t="s">
        <v>72</v>
      </c>
      <c r="E236" s="102">
        <v>3</v>
      </c>
      <c r="F236" s="101" t="s">
        <v>68</v>
      </c>
      <c r="G236" s="101" t="s">
        <v>269</v>
      </c>
      <c r="H236" s="102"/>
      <c r="I236" s="97">
        <f>SUM(I237:I237)</f>
        <v>790000</v>
      </c>
    </row>
    <row r="237" spans="1:9" ht="31.5" x14ac:dyDescent="0.25">
      <c r="A237" s="45" t="s">
        <v>75</v>
      </c>
      <c r="B237" s="101" t="s">
        <v>84</v>
      </c>
      <c r="C237" s="101" t="s">
        <v>72</v>
      </c>
      <c r="D237" s="101" t="s">
        <v>72</v>
      </c>
      <c r="E237" s="102">
        <v>3</v>
      </c>
      <c r="F237" s="101" t="s">
        <v>68</v>
      </c>
      <c r="G237" s="101" t="s">
        <v>269</v>
      </c>
      <c r="H237" s="102">
        <v>240</v>
      </c>
      <c r="I237" s="97">
        <f>'Прил 6'!J230</f>
        <v>790000</v>
      </c>
    </row>
    <row r="238" spans="1:9" x14ac:dyDescent="0.25">
      <c r="A238" s="45" t="s">
        <v>270</v>
      </c>
      <c r="B238" s="101" t="s">
        <v>84</v>
      </c>
      <c r="C238" s="101" t="s">
        <v>72</v>
      </c>
      <c r="D238" s="101" t="s">
        <v>72</v>
      </c>
      <c r="E238" s="102">
        <v>3</v>
      </c>
      <c r="F238" s="101" t="s">
        <v>68</v>
      </c>
      <c r="G238" s="101" t="s">
        <v>271</v>
      </c>
      <c r="H238" s="102"/>
      <c r="I238" s="97">
        <f>I239</f>
        <v>1524541.22</v>
      </c>
    </row>
    <row r="239" spans="1:9" ht="31.5" x14ac:dyDescent="0.25">
      <c r="A239" s="45" t="s">
        <v>75</v>
      </c>
      <c r="B239" s="101" t="s">
        <v>84</v>
      </c>
      <c r="C239" s="101" t="s">
        <v>72</v>
      </c>
      <c r="D239" s="101" t="s">
        <v>72</v>
      </c>
      <c r="E239" s="102">
        <v>3</v>
      </c>
      <c r="F239" s="101" t="s">
        <v>68</v>
      </c>
      <c r="G239" s="101" t="s">
        <v>271</v>
      </c>
      <c r="H239" s="102">
        <v>240</v>
      </c>
      <c r="I239" s="97">
        <f>'Прил 6'!J232</f>
        <v>1524541.22</v>
      </c>
    </row>
    <row r="240" spans="1:9" x14ac:dyDescent="0.25">
      <c r="A240" s="45" t="s">
        <v>272</v>
      </c>
      <c r="B240" s="101" t="s">
        <v>84</v>
      </c>
      <c r="C240" s="101" t="s">
        <v>72</v>
      </c>
      <c r="D240" s="101" t="s">
        <v>72</v>
      </c>
      <c r="E240" s="102">
        <v>3</v>
      </c>
      <c r="F240" s="101" t="s">
        <v>68</v>
      </c>
      <c r="G240" s="102">
        <v>29220</v>
      </c>
      <c r="H240" s="102"/>
      <c r="I240" s="97">
        <f>I241</f>
        <v>1528409.6</v>
      </c>
    </row>
    <row r="241" spans="1:9" ht="31.5" x14ac:dyDescent="0.25">
      <c r="A241" s="45" t="s">
        <v>75</v>
      </c>
      <c r="B241" s="101" t="s">
        <v>84</v>
      </c>
      <c r="C241" s="101" t="s">
        <v>72</v>
      </c>
      <c r="D241" s="101" t="s">
        <v>72</v>
      </c>
      <c r="E241" s="102">
        <v>3</v>
      </c>
      <c r="F241" s="101" t="s">
        <v>68</v>
      </c>
      <c r="G241" s="102">
        <v>29220</v>
      </c>
      <c r="H241" s="102">
        <v>240</v>
      </c>
      <c r="I241" s="97">
        <f>'Прил 6'!J234</f>
        <v>1528409.6</v>
      </c>
    </row>
    <row r="242" spans="1:9" x14ac:dyDescent="0.25">
      <c r="A242" s="45" t="s">
        <v>273</v>
      </c>
      <c r="B242" s="101" t="s">
        <v>84</v>
      </c>
      <c r="C242" s="101" t="s">
        <v>72</v>
      </c>
      <c r="D242" s="101" t="s">
        <v>72</v>
      </c>
      <c r="E242" s="102">
        <v>3</v>
      </c>
      <c r="F242" s="101" t="s">
        <v>68</v>
      </c>
      <c r="G242" s="101" t="s">
        <v>274</v>
      </c>
      <c r="H242" s="102"/>
      <c r="I242" s="97">
        <f>SUM(I243:I243)</f>
        <v>20605245.620000001</v>
      </c>
    </row>
    <row r="243" spans="1:9" ht="31.5" x14ac:dyDescent="0.25">
      <c r="A243" s="45" t="s">
        <v>75</v>
      </c>
      <c r="B243" s="101" t="s">
        <v>84</v>
      </c>
      <c r="C243" s="101" t="s">
        <v>72</v>
      </c>
      <c r="D243" s="101" t="s">
        <v>72</v>
      </c>
      <c r="E243" s="102">
        <v>3</v>
      </c>
      <c r="F243" s="101" t="s">
        <v>68</v>
      </c>
      <c r="G243" s="101" t="s">
        <v>274</v>
      </c>
      <c r="H243" s="102">
        <v>240</v>
      </c>
      <c r="I243" s="97">
        <f>'Прил 6'!J236</f>
        <v>20605245.620000001</v>
      </c>
    </row>
    <row r="244" spans="1:9" x14ac:dyDescent="0.25">
      <c r="A244" s="45" t="s">
        <v>275</v>
      </c>
      <c r="B244" s="101" t="s">
        <v>84</v>
      </c>
      <c r="C244" s="101" t="s">
        <v>72</v>
      </c>
      <c r="D244" s="101" t="s">
        <v>72</v>
      </c>
      <c r="E244" s="102">
        <v>3</v>
      </c>
      <c r="F244" s="101" t="s">
        <v>68</v>
      </c>
      <c r="G244" s="102">
        <v>29490</v>
      </c>
      <c r="H244" s="102"/>
      <c r="I244" s="97">
        <f>I245</f>
        <v>3931209.19</v>
      </c>
    </row>
    <row r="245" spans="1:9" ht="31.5" x14ac:dyDescent="0.25">
      <c r="A245" s="45" t="s">
        <v>75</v>
      </c>
      <c r="B245" s="101" t="s">
        <v>84</v>
      </c>
      <c r="C245" s="101" t="s">
        <v>72</v>
      </c>
      <c r="D245" s="101" t="s">
        <v>72</v>
      </c>
      <c r="E245" s="102">
        <v>3</v>
      </c>
      <c r="F245" s="101" t="s">
        <v>68</v>
      </c>
      <c r="G245" s="102">
        <v>29490</v>
      </c>
      <c r="H245" s="102">
        <v>240</v>
      </c>
      <c r="I245" s="97">
        <f>'Прил 6'!J238</f>
        <v>3931209.19</v>
      </c>
    </row>
    <row r="246" spans="1:9" x14ac:dyDescent="0.25">
      <c r="A246" s="45" t="s">
        <v>276</v>
      </c>
      <c r="B246" s="101" t="s">
        <v>84</v>
      </c>
      <c r="C246" s="101" t="s">
        <v>72</v>
      </c>
      <c r="D246" s="101" t="s">
        <v>72</v>
      </c>
      <c r="E246" s="102">
        <v>3</v>
      </c>
      <c r="F246" s="101" t="s">
        <v>68</v>
      </c>
      <c r="G246" s="101" t="s">
        <v>277</v>
      </c>
      <c r="H246" s="102"/>
      <c r="I246" s="97">
        <f>I247</f>
        <v>7470969.4800000004</v>
      </c>
    </row>
    <row r="247" spans="1:9" ht="31.5" x14ac:dyDescent="0.25">
      <c r="A247" s="45" t="s">
        <v>75</v>
      </c>
      <c r="B247" s="101" t="s">
        <v>84</v>
      </c>
      <c r="C247" s="101" t="s">
        <v>72</v>
      </c>
      <c r="D247" s="101" t="s">
        <v>72</v>
      </c>
      <c r="E247" s="102">
        <v>3</v>
      </c>
      <c r="F247" s="101" t="s">
        <v>68</v>
      </c>
      <c r="G247" s="101" t="s">
        <v>277</v>
      </c>
      <c r="H247" s="102">
        <v>240</v>
      </c>
      <c r="I247" s="97">
        <f>'Прил 6'!J240</f>
        <v>7470969.4800000004</v>
      </c>
    </row>
    <row r="248" spans="1:9" x14ac:dyDescent="0.25">
      <c r="A248" s="45" t="s">
        <v>278</v>
      </c>
      <c r="B248" s="101" t="s">
        <v>84</v>
      </c>
      <c r="C248" s="101" t="s">
        <v>72</v>
      </c>
      <c r="D248" s="101" t="s">
        <v>72</v>
      </c>
      <c r="E248" s="102">
        <v>3</v>
      </c>
      <c r="F248" s="101" t="s">
        <v>68</v>
      </c>
      <c r="G248" s="101" t="s">
        <v>279</v>
      </c>
      <c r="H248" s="102"/>
      <c r="I248" s="97">
        <f>I249</f>
        <v>400000</v>
      </c>
    </row>
    <row r="249" spans="1:9" ht="31.5" x14ac:dyDescent="0.25">
      <c r="A249" s="45" t="s">
        <v>75</v>
      </c>
      <c r="B249" s="101" t="s">
        <v>84</v>
      </c>
      <c r="C249" s="101" t="s">
        <v>72</v>
      </c>
      <c r="D249" s="101" t="s">
        <v>72</v>
      </c>
      <c r="E249" s="102">
        <v>3</v>
      </c>
      <c r="F249" s="101" t="s">
        <v>68</v>
      </c>
      <c r="G249" s="101" t="s">
        <v>279</v>
      </c>
      <c r="H249" s="102">
        <v>240</v>
      </c>
      <c r="I249" s="97">
        <f>'Прил 6'!J242</f>
        <v>400000</v>
      </c>
    </row>
    <row r="250" spans="1:9" x14ac:dyDescent="0.25">
      <c r="A250" s="45" t="s">
        <v>280</v>
      </c>
      <c r="B250" s="101" t="s">
        <v>84</v>
      </c>
      <c r="C250" s="101" t="s">
        <v>72</v>
      </c>
      <c r="D250" s="101" t="s">
        <v>72</v>
      </c>
      <c r="E250" s="102">
        <v>3</v>
      </c>
      <c r="F250" s="101" t="s">
        <v>68</v>
      </c>
      <c r="G250" s="101" t="s">
        <v>281</v>
      </c>
      <c r="H250" s="102"/>
      <c r="I250" s="97">
        <f>I251</f>
        <v>1000000</v>
      </c>
    </row>
    <row r="251" spans="1:9" ht="31.5" x14ac:dyDescent="0.25">
      <c r="A251" s="45" t="s">
        <v>75</v>
      </c>
      <c r="B251" s="101" t="s">
        <v>84</v>
      </c>
      <c r="C251" s="101" t="s">
        <v>72</v>
      </c>
      <c r="D251" s="101" t="s">
        <v>72</v>
      </c>
      <c r="E251" s="102">
        <v>3</v>
      </c>
      <c r="F251" s="101" t="s">
        <v>68</v>
      </c>
      <c r="G251" s="101" t="s">
        <v>281</v>
      </c>
      <c r="H251" s="102">
        <v>240</v>
      </c>
      <c r="I251" s="97">
        <f>'Прил 6'!J244</f>
        <v>1000000</v>
      </c>
    </row>
    <row r="252" spans="1:9" ht="47.25" x14ac:dyDescent="0.25">
      <c r="A252" s="45" t="s">
        <v>282</v>
      </c>
      <c r="B252" s="101" t="s">
        <v>84</v>
      </c>
      <c r="C252" s="101" t="s">
        <v>72</v>
      </c>
      <c r="D252" s="101" t="s">
        <v>110</v>
      </c>
      <c r="E252" s="102">
        <v>0</v>
      </c>
      <c r="F252" s="101" t="s">
        <v>68</v>
      </c>
      <c r="G252" s="101" t="s">
        <v>69</v>
      </c>
      <c r="H252" s="102"/>
      <c r="I252" s="97">
        <f>I253</f>
        <v>1428.6799999999998</v>
      </c>
    </row>
    <row r="253" spans="1:9" ht="31.5" x14ac:dyDescent="0.25">
      <c r="A253" s="45" t="s">
        <v>283</v>
      </c>
      <c r="B253" s="101" t="s">
        <v>84</v>
      </c>
      <c r="C253" s="101" t="s">
        <v>72</v>
      </c>
      <c r="D253" s="101" t="s">
        <v>110</v>
      </c>
      <c r="E253" s="102">
        <v>1</v>
      </c>
      <c r="F253" s="101" t="s">
        <v>68</v>
      </c>
      <c r="G253" s="101" t="s">
        <v>69</v>
      </c>
      <c r="H253" s="102"/>
      <c r="I253" s="97">
        <f>I254+I257+I260</f>
        <v>1428.6799999999998</v>
      </c>
    </row>
    <row r="254" spans="1:9" hidden="1" x14ac:dyDescent="0.25">
      <c r="A254" s="45" t="s">
        <v>284</v>
      </c>
      <c r="B254" s="101" t="s">
        <v>84</v>
      </c>
      <c r="C254" s="101" t="s">
        <v>72</v>
      </c>
      <c r="D254" s="101" t="s">
        <v>110</v>
      </c>
      <c r="E254" s="102">
        <v>1</v>
      </c>
      <c r="F254" s="101" t="s">
        <v>65</v>
      </c>
      <c r="G254" s="101" t="s">
        <v>69</v>
      </c>
      <c r="H254" s="102"/>
      <c r="I254" s="97">
        <f>I255</f>
        <v>0</v>
      </c>
    </row>
    <row r="255" spans="1:9" ht="78.75" hidden="1" x14ac:dyDescent="0.25">
      <c r="A255" s="45" t="s">
        <v>285</v>
      </c>
      <c r="B255" s="101" t="s">
        <v>84</v>
      </c>
      <c r="C255" s="101" t="s">
        <v>72</v>
      </c>
      <c r="D255" s="101" t="s">
        <v>110</v>
      </c>
      <c r="E255" s="102">
        <v>1</v>
      </c>
      <c r="F255" s="101" t="s">
        <v>65</v>
      </c>
      <c r="G255" s="101" t="s">
        <v>286</v>
      </c>
      <c r="H255" s="102"/>
      <c r="I255" s="97">
        <f>I256</f>
        <v>0</v>
      </c>
    </row>
    <row r="256" spans="1:9" ht="31.5" hidden="1" x14ac:dyDescent="0.25">
      <c r="A256" s="45" t="s">
        <v>75</v>
      </c>
      <c r="B256" s="101" t="s">
        <v>84</v>
      </c>
      <c r="C256" s="101" t="s">
        <v>72</v>
      </c>
      <c r="D256" s="101" t="s">
        <v>110</v>
      </c>
      <c r="E256" s="102">
        <v>1</v>
      </c>
      <c r="F256" s="101" t="s">
        <v>65</v>
      </c>
      <c r="G256" s="101" t="s">
        <v>286</v>
      </c>
      <c r="H256" s="102">
        <v>240</v>
      </c>
      <c r="I256" s="97">
        <f>'Прил 6'!J249</f>
        <v>0</v>
      </c>
    </row>
    <row r="257" spans="1:9" hidden="1" x14ac:dyDescent="0.25">
      <c r="A257" s="45" t="s">
        <v>287</v>
      </c>
      <c r="B257" s="101" t="s">
        <v>84</v>
      </c>
      <c r="C257" s="101" t="s">
        <v>72</v>
      </c>
      <c r="D257" s="101" t="s">
        <v>110</v>
      </c>
      <c r="E257" s="102">
        <v>1</v>
      </c>
      <c r="F257" s="101" t="s">
        <v>66</v>
      </c>
      <c r="G257" s="101" t="s">
        <v>69</v>
      </c>
      <c r="H257" s="102"/>
      <c r="I257" s="97">
        <f>I258</f>
        <v>0</v>
      </c>
    </row>
    <row r="258" spans="1:9" ht="78.75" hidden="1" x14ac:dyDescent="0.25">
      <c r="A258" s="45" t="s">
        <v>285</v>
      </c>
      <c r="B258" s="101" t="s">
        <v>84</v>
      </c>
      <c r="C258" s="101" t="s">
        <v>72</v>
      </c>
      <c r="D258" s="101" t="s">
        <v>110</v>
      </c>
      <c r="E258" s="102">
        <v>1</v>
      </c>
      <c r="F258" s="101" t="s">
        <v>66</v>
      </c>
      <c r="G258" s="101" t="s">
        <v>286</v>
      </c>
      <c r="H258" s="102"/>
      <c r="I258" s="97">
        <f>I259</f>
        <v>0</v>
      </c>
    </row>
    <row r="259" spans="1:9" ht="31.5" hidden="1" x14ac:dyDescent="0.25">
      <c r="A259" s="45" t="s">
        <v>75</v>
      </c>
      <c r="B259" s="101" t="s">
        <v>84</v>
      </c>
      <c r="C259" s="101" t="s">
        <v>72</v>
      </c>
      <c r="D259" s="101" t="s">
        <v>110</v>
      </c>
      <c r="E259" s="102">
        <v>1</v>
      </c>
      <c r="F259" s="101" t="s">
        <v>66</v>
      </c>
      <c r="G259" s="101" t="s">
        <v>286</v>
      </c>
      <c r="H259" s="102">
        <v>240</v>
      </c>
      <c r="I259" s="97"/>
    </row>
    <row r="260" spans="1:9" ht="78.75" x14ac:dyDescent="0.25">
      <c r="A260" s="45" t="s">
        <v>288</v>
      </c>
      <c r="B260" s="101" t="s">
        <v>84</v>
      </c>
      <c r="C260" s="101" t="s">
        <v>72</v>
      </c>
      <c r="D260" s="101" t="s">
        <v>110</v>
      </c>
      <c r="E260" s="102">
        <v>1</v>
      </c>
      <c r="F260" s="101" t="s">
        <v>120</v>
      </c>
      <c r="G260" s="101" t="s">
        <v>69</v>
      </c>
      <c r="H260" s="102"/>
      <c r="I260" s="97">
        <f>I261</f>
        <v>1428.6799999999998</v>
      </c>
    </row>
    <row r="261" spans="1:9" ht="78.75" x14ac:dyDescent="0.25">
      <c r="A261" s="45" t="s">
        <v>285</v>
      </c>
      <c r="B261" s="101" t="s">
        <v>84</v>
      </c>
      <c r="C261" s="101" t="s">
        <v>72</v>
      </c>
      <c r="D261" s="101" t="s">
        <v>110</v>
      </c>
      <c r="E261" s="102">
        <v>1</v>
      </c>
      <c r="F261" s="101" t="s">
        <v>120</v>
      </c>
      <c r="G261" s="101" t="s">
        <v>121</v>
      </c>
      <c r="H261" s="102"/>
      <c r="I261" s="97">
        <f>I262</f>
        <v>1428.6799999999998</v>
      </c>
    </row>
    <row r="262" spans="1:9" x14ac:dyDescent="0.25">
      <c r="A262" s="49" t="s">
        <v>157</v>
      </c>
      <c r="B262" s="101" t="s">
        <v>84</v>
      </c>
      <c r="C262" s="101" t="s">
        <v>72</v>
      </c>
      <c r="D262" s="101" t="s">
        <v>110</v>
      </c>
      <c r="E262" s="102">
        <v>1</v>
      </c>
      <c r="F262" s="101" t="s">
        <v>120</v>
      </c>
      <c r="G262" s="101" t="s">
        <v>121</v>
      </c>
      <c r="H262" s="102">
        <v>540</v>
      </c>
      <c r="I262" s="97">
        <f>'Прил 6'!J255</f>
        <v>1428.6799999999998</v>
      </c>
    </row>
    <row r="263" spans="1:9" x14ac:dyDescent="0.25">
      <c r="A263" s="45" t="s">
        <v>157</v>
      </c>
      <c r="B263" s="115" t="s">
        <v>84</v>
      </c>
      <c r="C263" s="115" t="s">
        <v>72</v>
      </c>
      <c r="D263" s="115" t="s">
        <v>154</v>
      </c>
      <c r="E263" s="115" t="s">
        <v>67</v>
      </c>
      <c r="F263" s="115" t="s">
        <v>68</v>
      </c>
      <c r="G263" s="115" t="s">
        <v>69</v>
      </c>
      <c r="H263" s="116"/>
      <c r="I263" s="97">
        <f>I264</f>
        <v>542500</v>
      </c>
    </row>
    <row r="264" spans="1:9" ht="47.25" x14ac:dyDescent="0.25">
      <c r="A264" s="45" t="s">
        <v>152</v>
      </c>
      <c r="B264" s="115" t="s">
        <v>84</v>
      </c>
      <c r="C264" s="115" t="s">
        <v>72</v>
      </c>
      <c r="D264" s="115" t="s">
        <v>154</v>
      </c>
      <c r="E264" s="115" t="s">
        <v>73</v>
      </c>
      <c r="F264" s="115" t="s">
        <v>68</v>
      </c>
      <c r="G264" s="115" t="s">
        <v>69</v>
      </c>
      <c r="H264" s="116"/>
      <c r="I264" s="97">
        <f>I265</f>
        <v>542500</v>
      </c>
    </row>
    <row r="265" spans="1:9" ht="31.5" x14ac:dyDescent="0.25">
      <c r="A265" s="45" t="s">
        <v>422</v>
      </c>
      <c r="B265" s="115" t="s">
        <v>84</v>
      </c>
      <c r="C265" s="115" t="s">
        <v>72</v>
      </c>
      <c r="D265" s="115">
        <v>97</v>
      </c>
      <c r="E265" s="116">
        <v>2</v>
      </c>
      <c r="F265" s="115" t="s">
        <v>68</v>
      </c>
      <c r="G265" s="116">
        <v>85200</v>
      </c>
      <c r="H265" s="115"/>
      <c r="I265" s="97">
        <f>I266</f>
        <v>542500</v>
      </c>
    </row>
    <row r="266" spans="1:9" x14ac:dyDescent="0.25">
      <c r="A266" s="48" t="s">
        <v>157</v>
      </c>
      <c r="B266" s="115" t="s">
        <v>84</v>
      </c>
      <c r="C266" s="115" t="s">
        <v>72</v>
      </c>
      <c r="D266" s="115">
        <v>97</v>
      </c>
      <c r="E266" s="116">
        <v>2</v>
      </c>
      <c r="F266" s="115" t="s">
        <v>68</v>
      </c>
      <c r="G266" s="116">
        <v>85200</v>
      </c>
      <c r="H266" s="115" t="s">
        <v>423</v>
      </c>
      <c r="I266" s="97">
        <f>'Прил 6'!J259</f>
        <v>542500</v>
      </c>
    </row>
    <row r="267" spans="1:9" x14ac:dyDescent="0.25">
      <c r="A267" s="45" t="s">
        <v>289</v>
      </c>
      <c r="B267" s="101" t="s">
        <v>84</v>
      </c>
      <c r="C267" s="101" t="s">
        <v>84</v>
      </c>
      <c r="D267" s="101" t="s">
        <v>68</v>
      </c>
      <c r="E267" s="102">
        <v>0</v>
      </c>
      <c r="F267" s="101" t="s">
        <v>68</v>
      </c>
      <c r="G267" s="101" t="s">
        <v>69</v>
      </c>
      <c r="H267" s="102"/>
      <c r="I267" s="97">
        <f>I268+I274</f>
        <v>25872096.390000001</v>
      </c>
    </row>
    <row r="268" spans="1:9" ht="47.25" x14ac:dyDescent="0.25">
      <c r="A268" s="44" t="s">
        <v>230</v>
      </c>
      <c r="B268" s="101" t="s">
        <v>84</v>
      </c>
      <c r="C268" s="101" t="s">
        <v>84</v>
      </c>
      <c r="D268" s="101" t="s">
        <v>72</v>
      </c>
      <c r="E268" s="102">
        <v>0</v>
      </c>
      <c r="F268" s="101" t="s">
        <v>68</v>
      </c>
      <c r="G268" s="101" t="s">
        <v>69</v>
      </c>
      <c r="H268" s="102"/>
      <c r="I268" s="97">
        <f>I269</f>
        <v>25209096.390000001</v>
      </c>
    </row>
    <row r="269" spans="1:9" x14ac:dyDescent="0.25">
      <c r="A269" s="45" t="s">
        <v>290</v>
      </c>
      <c r="B269" s="101" t="s">
        <v>84</v>
      </c>
      <c r="C269" s="101" t="s">
        <v>84</v>
      </c>
      <c r="D269" s="101" t="s">
        <v>72</v>
      </c>
      <c r="E269" s="102">
        <v>4</v>
      </c>
      <c r="F269" s="101" t="s">
        <v>68</v>
      </c>
      <c r="G269" s="101" t="s">
        <v>69</v>
      </c>
      <c r="H269" s="102"/>
      <c r="I269" s="97">
        <f>I270</f>
        <v>25209096.390000001</v>
      </c>
    </row>
    <row r="270" spans="1:9" ht="31.5" x14ac:dyDescent="0.25">
      <c r="A270" s="45" t="s">
        <v>291</v>
      </c>
      <c r="B270" s="101" t="s">
        <v>84</v>
      </c>
      <c r="C270" s="101" t="s">
        <v>84</v>
      </c>
      <c r="D270" s="101" t="s">
        <v>72</v>
      </c>
      <c r="E270" s="102">
        <v>4</v>
      </c>
      <c r="F270" s="101" t="s">
        <v>68</v>
      </c>
      <c r="G270" s="101" t="s">
        <v>292</v>
      </c>
      <c r="H270" s="102"/>
      <c r="I270" s="97">
        <f>SUM(I271:I273)</f>
        <v>25209096.390000001</v>
      </c>
    </row>
    <row r="271" spans="1:9" x14ac:dyDescent="0.25">
      <c r="A271" s="44" t="s">
        <v>293</v>
      </c>
      <c r="B271" s="101" t="s">
        <v>84</v>
      </c>
      <c r="C271" s="101" t="s">
        <v>84</v>
      </c>
      <c r="D271" s="101" t="s">
        <v>72</v>
      </c>
      <c r="E271" s="102">
        <v>4</v>
      </c>
      <c r="F271" s="101" t="s">
        <v>68</v>
      </c>
      <c r="G271" s="101" t="s">
        <v>292</v>
      </c>
      <c r="H271" s="102">
        <v>110</v>
      </c>
      <c r="I271" s="97">
        <f>'Прил 6'!J264</f>
        <v>15554155.99</v>
      </c>
    </row>
    <row r="272" spans="1:9" ht="31.5" x14ac:dyDescent="0.25">
      <c r="A272" s="45" t="s">
        <v>75</v>
      </c>
      <c r="B272" s="101" t="s">
        <v>84</v>
      </c>
      <c r="C272" s="101" t="s">
        <v>84</v>
      </c>
      <c r="D272" s="101" t="s">
        <v>72</v>
      </c>
      <c r="E272" s="102">
        <v>4</v>
      </c>
      <c r="F272" s="101" t="s">
        <v>68</v>
      </c>
      <c r="G272" s="101" t="s">
        <v>292</v>
      </c>
      <c r="H272" s="102">
        <v>240</v>
      </c>
      <c r="I272" s="97">
        <f>'Прил 6'!J265</f>
        <v>9604940.4000000004</v>
      </c>
    </row>
    <row r="273" spans="1:9" x14ac:dyDescent="0.25">
      <c r="A273" s="44" t="s">
        <v>77</v>
      </c>
      <c r="B273" s="101" t="s">
        <v>84</v>
      </c>
      <c r="C273" s="101" t="s">
        <v>84</v>
      </c>
      <c r="D273" s="101" t="s">
        <v>72</v>
      </c>
      <c r="E273" s="102">
        <v>4</v>
      </c>
      <c r="F273" s="101" t="s">
        <v>68</v>
      </c>
      <c r="G273" s="101" t="s">
        <v>292</v>
      </c>
      <c r="H273" s="102">
        <v>850</v>
      </c>
      <c r="I273" s="97">
        <f>'Прил 6'!J266</f>
        <v>50000</v>
      </c>
    </row>
    <row r="274" spans="1:9" ht="47.25" x14ac:dyDescent="0.25">
      <c r="A274" s="44" t="s">
        <v>182</v>
      </c>
      <c r="B274" s="101" t="s">
        <v>84</v>
      </c>
      <c r="C274" s="101" t="s">
        <v>84</v>
      </c>
      <c r="D274" s="101" t="s">
        <v>88</v>
      </c>
      <c r="E274" s="102">
        <v>0</v>
      </c>
      <c r="F274" s="101" t="s">
        <v>68</v>
      </c>
      <c r="G274" s="101" t="s">
        <v>69</v>
      </c>
      <c r="H274" s="102"/>
      <c r="I274" s="97">
        <f>I275</f>
        <v>663000</v>
      </c>
    </row>
    <row r="275" spans="1:9" x14ac:dyDescent="0.25">
      <c r="A275" s="44" t="s">
        <v>294</v>
      </c>
      <c r="B275" s="101" t="s">
        <v>84</v>
      </c>
      <c r="C275" s="101" t="s">
        <v>84</v>
      </c>
      <c r="D275" s="101" t="s">
        <v>88</v>
      </c>
      <c r="E275" s="102">
        <v>2</v>
      </c>
      <c r="F275" s="101" t="s">
        <v>68</v>
      </c>
      <c r="G275" s="101" t="s">
        <v>69</v>
      </c>
      <c r="H275" s="102"/>
      <c r="I275" s="97">
        <f>I276+I279</f>
        <v>663000</v>
      </c>
    </row>
    <row r="276" spans="1:9" x14ac:dyDescent="0.25">
      <c r="A276" s="44" t="s">
        <v>184</v>
      </c>
      <c r="B276" s="101" t="s">
        <v>84</v>
      </c>
      <c r="C276" s="101" t="s">
        <v>84</v>
      </c>
      <c r="D276" s="101" t="s">
        <v>88</v>
      </c>
      <c r="E276" s="102">
        <v>2</v>
      </c>
      <c r="F276" s="101" t="s">
        <v>65</v>
      </c>
      <c r="G276" s="101" t="s">
        <v>69</v>
      </c>
      <c r="H276" s="102"/>
      <c r="I276" s="97">
        <f>I277</f>
        <v>150000</v>
      </c>
    </row>
    <row r="277" spans="1:9" ht="31.5" x14ac:dyDescent="0.25">
      <c r="A277" s="45" t="s">
        <v>185</v>
      </c>
      <c r="B277" s="101" t="s">
        <v>84</v>
      </c>
      <c r="C277" s="101" t="s">
        <v>84</v>
      </c>
      <c r="D277" s="101" t="s">
        <v>88</v>
      </c>
      <c r="E277" s="101" t="s">
        <v>73</v>
      </c>
      <c r="F277" s="101" t="s">
        <v>65</v>
      </c>
      <c r="G277" s="101" t="s">
        <v>186</v>
      </c>
      <c r="H277" s="101"/>
      <c r="I277" s="97">
        <f>I278</f>
        <v>150000</v>
      </c>
    </row>
    <row r="278" spans="1:9" ht="31.5" x14ac:dyDescent="0.25">
      <c r="A278" s="45" t="s">
        <v>75</v>
      </c>
      <c r="B278" s="101" t="s">
        <v>84</v>
      </c>
      <c r="C278" s="101" t="s">
        <v>84</v>
      </c>
      <c r="D278" s="101" t="s">
        <v>88</v>
      </c>
      <c r="E278" s="101" t="s">
        <v>73</v>
      </c>
      <c r="F278" s="101" t="s">
        <v>65</v>
      </c>
      <c r="G278" s="101" t="s">
        <v>186</v>
      </c>
      <c r="H278" s="101" t="s">
        <v>76</v>
      </c>
      <c r="I278" s="97">
        <f>'Прил 6'!J271</f>
        <v>150000</v>
      </c>
    </row>
    <row r="279" spans="1:9" x14ac:dyDescent="0.25">
      <c r="A279" s="44" t="s">
        <v>295</v>
      </c>
      <c r="B279" s="101" t="s">
        <v>84</v>
      </c>
      <c r="C279" s="101" t="s">
        <v>84</v>
      </c>
      <c r="D279" s="101" t="s">
        <v>88</v>
      </c>
      <c r="E279" s="102">
        <v>2</v>
      </c>
      <c r="F279" s="101" t="s">
        <v>66</v>
      </c>
      <c r="G279" s="101"/>
      <c r="H279" s="102"/>
      <c r="I279" s="97">
        <f>I280</f>
        <v>513000</v>
      </c>
    </row>
    <row r="280" spans="1:9" ht="31.5" x14ac:dyDescent="0.25">
      <c r="A280" s="45" t="s">
        <v>185</v>
      </c>
      <c r="B280" s="101" t="s">
        <v>84</v>
      </c>
      <c r="C280" s="101" t="s">
        <v>84</v>
      </c>
      <c r="D280" s="101" t="s">
        <v>88</v>
      </c>
      <c r="E280" s="101" t="s">
        <v>73</v>
      </c>
      <c r="F280" s="101" t="s">
        <v>66</v>
      </c>
      <c r="G280" s="101" t="s">
        <v>186</v>
      </c>
      <c r="H280" s="101"/>
      <c r="I280" s="97">
        <f>I281</f>
        <v>513000</v>
      </c>
    </row>
    <row r="281" spans="1:9" ht="31.5" x14ac:dyDescent="0.25">
      <c r="A281" s="45" t="s">
        <v>75</v>
      </c>
      <c r="B281" s="101" t="s">
        <v>84</v>
      </c>
      <c r="C281" s="101" t="s">
        <v>84</v>
      </c>
      <c r="D281" s="101" t="s">
        <v>88</v>
      </c>
      <c r="E281" s="101" t="s">
        <v>73</v>
      </c>
      <c r="F281" s="101" t="s">
        <v>66</v>
      </c>
      <c r="G281" s="101" t="s">
        <v>186</v>
      </c>
      <c r="H281" s="101" t="s">
        <v>76</v>
      </c>
      <c r="I281" s="97">
        <f>'Прил 6'!J274</f>
        <v>513000</v>
      </c>
    </row>
    <row r="282" spans="1:9" x14ac:dyDescent="0.25">
      <c r="A282" s="50" t="s">
        <v>122</v>
      </c>
      <c r="B282" s="101" t="s">
        <v>88</v>
      </c>
      <c r="C282" s="101"/>
      <c r="D282" s="101"/>
      <c r="E282" s="102"/>
      <c r="F282" s="101"/>
      <c r="G282" s="101"/>
      <c r="H282" s="102"/>
      <c r="I282" s="96">
        <f>I283+I287</f>
        <v>3161900</v>
      </c>
    </row>
    <row r="283" spans="1:9" x14ac:dyDescent="0.25">
      <c r="A283" s="51" t="s">
        <v>123</v>
      </c>
      <c r="B283" s="101" t="s">
        <v>88</v>
      </c>
      <c r="C283" s="101" t="s">
        <v>84</v>
      </c>
      <c r="D283" s="101"/>
      <c r="E283" s="102"/>
      <c r="F283" s="101"/>
      <c r="G283" s="101"/>
      <c r="H283" s="102"/>
      <c r="I283" s="97">
        <f>I284</f>
        <v>30000</v>
      </c>
    </row>
    <row r="284" spans="1:9" ht="78.75" x14ac:dyDescent="0.25">
      <c r="A284" s="44" t="s">
        <v>296</v>
      </c>
      <c r="B284" s="101" t="s">
        <v>88</v>
      </c>
      <c r="C284" s="101" t="s">
        <v>84</v>
      </c>
      <c r="D284" s="101" t="s">
        <v>102</v>
      </c>
      <c r="E284" s="102">
        <v>0</v>
      </c>
      <c r="F284" s="101" t="s">
        <v>68</v>
      </c>
      <c r="G284" s="101" t="s">
        <v>69</v>
      </c>
      <c r="H284" s="102"/>
      <c r="I284" s="97">
        <f>I285</f>
        <v>30000</v>
      </c>
    </row>
    <row r="285" spans="1:9" x14ac:dyDescent="0.25">
      <c r="A285" s="45" t="s">
        <v>297</v>
      </c>
      <c r="B285" s="101" t="s">
        <v>88</v>
      </c>
      <c r="C285" s="101" t="s">
        <v>84</v>
      </c>
      <c r="D285" s="101" t="s">
        <v>102</v>
      </c>
      <c r="E285" s="102">
        <v>0</v>
      </c>
      <c r="F285" s="101" t="s">
        <v>68</v>
      </c>
      <c r="G285" s="101" t="s">
        <v>298</v>
      </c>
      <c r="H285" s="102"/>
      <c r="I285" s="97">
        <f>I286</f>
        <v>30000</v>
      </c>
    </row>
    <row r="286" spans="1:9" ht="31.5" x14ac:dyDescent="0.25">
      <c r="A286" s="45" t="s">
        <v>75</v>
      </c>
      <c r="B286" s="101" t="s">
        <v>88</v>
      </c>
      <c r="C286" s="101" t="s">
        <v>84</v>
      </c>
      <c r="D286" s="101" t="s">
        <v>102</v>
      </c>
      <c r="E286" s="102">
        <v>0</v>
      </c>
      <c r="F286" s="101" t="s">
        <v>68</v>
      </c>
      <c r="G286" s="101" t="s">
        <v>298</v>
      </c>
      <c r="H286" s="102">
        <v>240</v>
      </c>
      <c r="I286" s="97">
        <f>'Прил 6'!J279</f>
        <v>30000</v>
      </c>
    </row>
    <row r="287" spans="1:9" x14ac:dyDescent="0.25">
      <c r="A287" s="44" t="s">
        <v>124</v>
      </c>
      <c r="B287" s="101" t="s">
        <v>88</v>
      </c>
      <c r="C287" s="101" t="s">
        <v>88</v>
      </c>
      <c r="D287" s="101"/>
      <c r="E287" s="102"/>
      <c r="F287" s="101"/>
      <c r="G287" s="101"/>
      <c r="H287" s="102"/>
      <c r="I287" s="96">
        <f>I288</f>
        <v>3131900</v>
      </c>
    </row>
    <row r="288" spans="1:9" ht="47.25" x14ac:dyDescent="0.25">
      <c r="A288" s="45" t="s">
        <v>299</v>
      </c>
      <c r="B288" s="101" t="s">
        <v>88</v>
      </c>
      <c r="C288" s="101" t="s">
        <v>88</v>
      </c>
      <c r="D288" s="101" t="s">
        <v>86</v>
      </c>
      <c r="E288" s="102">
        <v>0</v>
      </c>
      <c r="F288" s="101" t="s">
        <v>68</v>
      </c>
      <c r="G288" s="101" t="s">
        <v>69</v>
      </c>
      <c r="H288" s="102"/>
      <c r="I288" s="96">
        <f>I289</f>
        <v>3131900</v>
      </c>
    </row>
    <row r="289" spans="1:9" x14ac:dyDescent="0.25">
      <c r="A289" s="44" t="s">
        <v>124</v>
      </c>
      <c r="B289" s="101" t="s">
        <v>88</v>
      </c>
      <c r="C289" s="101" t="s">
        <v>88</v>
      </c>
      <c r="D289" s="101" t="s">
        <v>86</v>
      </c>
      <c r="E289" s="102">
        <v>1</v>
      </c>
      <c r="F289" s="101" t="s">
        <v>68</v>
      </c>
      <c r="G289" s="101" t="s">
        <v>69</v>
      </c>
      <c r="H289" s="102"/>
      <c r="I289" s="96">
        <f>I290+I292</f>
        <v>3131900</v>
      </c>
    </row>
    <row r="290" spans="1:9" x14ac:dyDescent="0.25">
      <c r="A290" s="44" t="s">
        <v>300</v>
      </c>
      <c r="B290" s="101" t="s">
        <v>88</v>
      </c>
      <c r="C290" s="101" t="s">
        <v>88</v>
      </c>
      <c r="D290" s="101" t="s">
        <v>86</v>
      </c>
      <c r="E290" s="102">
        <v>1</v>
      </c>
      <c r="F290" s="101" t="s">
        <v>68</v>
      </c>
      <c r="G290" s="101" t="s">
        <v>301</v>
      </c>
      <c r="H290" s="102"/>
      <c r="I290" s="96">
        <f>I291</f>
        <v>151100</v>
      </c>
    </row>
    <row r="291" spans="1:9" x14ac:dyDescent="0.25">
      <c r="A291" s="44" t="s">
        <v>293</v>
      </c>
      <c r="B291" s="101" t="s">
        <v>88</v>
      </c>
      <c r="C291" s="101" t="s">
        <v>88</v>
      </c>
      <c r="D291" s="101" t="s">
        <v>86</v>
      </c>
      <c r="E291" s="102">
        <v>1</v>
      </c>
      <c r="F291" s="101" t="s">
        <v>68</v>
      </c>
      <c r="G291" s="101" t="s">
        <v>301</v>
      </c>
      <c r="H291" s="102">
        <v>110</v>
      </c>
      <c r="I291" s="96">
        <f>'Прил 6'!J284</f>
        <v>151100</v>
      </c>
    </row>
    <row r="292" spans="1:9" x14ac:dyDescent="0.25">
      <c r="A292" s="44" t="s">
        <v>302</v>
      </c>
      <c r="B292" s="101" t="s">
        <v>88</v>
      </c>
      <c r="C292" s="101" t="s">
        <v>88</v>
      </c>
      <c r="D292" s="101" t="s">
        <v>86</v>
      </c>
      <c r="E292" s="102">
        <v>1</v>
      </c>
      <c r="F292" s="101" t="s">
        <v>68</v>
      </c>
      <c r="G292" s="101" t="s">
        <v>303</v>
      </c>
      <c r="H292" s="102"/>
      <c r="I292" s="96">
        <f>I293</f>
        <v>2980800</v>
      </c>
    </row>
    <row r="293" spans="1:9" x14ac:dyDescent="0.25">
      <c r="A293" s="45" t="s">
        <v>105</v>
      </c>
      <c r="B293" s="101" t="s">
        <v>88</v>
      </c>
      <c r="C293" s="101" t="s">
        <v>88</v>
      </c>
      <c r="D293" s="101" t="s">
        <v>86</v>
      </c>
      <c r="E293" s="102">
        <v>1</v>
      </c>
      <c r="F293" s="101" t="s">
        <v>68</v>
      </c>
      <c r="G293" s="101" t="s">
        <v>303</v>
      </c>
      <c r="H293" s="102">
        <v>520</v>
      </c>
      <c r="I293" s="96">
        <f>'Прил 6'!J286</f>
        <v>2980800</v>
      </c>
    </row>
    <row r="294" spans="1:9" x14ac:dyDescent="0.25">
      <c r="A294" s="50" t="s">
        <v>304</v>
      </c>
      <c r="B294" s="101" t="s">
        <v>112</v>
      </c>
      <c r="C294" s="101"/>
      <c r="D294" s="101"/>
      <c r="E294" s="102"/>
      <c r="F294" s="101"/>
      <c r="G294" s="101"/>
      <c r="H294" s="102"/>
      <c r="I294" s="96">
        <f>I295+I321</f>
        <v>27760740.739999998</v>
      </c>
    </row>
    <row r="295" spans="1:9" x14ac:dyDescent="0.25">
      <c r="A295" s="44" t="s">
        <v>125</v>
      </c>
      <c r="B295" s="101" t="s">
        <v>112</v>
      </c>
      <c r="C295" s="102" t="s">
        <v>65</v>
      </c>
      <c r="D295" s="101" t="s">
        <v>134</v>
      </c>
      <c r="E295" s="102"/>
      <c r="F295" s="101"/>
      <c r="G295" s="101"/>
      <c r="H295" s="102" t="s">
        <v>135</v>
      </c>
      <c r="I295" s="96">
        <f>I296+I307+I315</f>
        <v>26981179.199999999</v>
      </c>
    </row>
    <row r="296" spans="1:9" ht="47.25" x14ac:dyDescent="0.25">
      <c r="A296" s="45" t="s">
        <v>299</v>
      </c>
      <c r="B296" s="101" t="s">
        <v>112</v>
      </c>
      <c r="C296" s="101" t="s">
        <v>65</v>
      </c>
      <c r="D296" s="101" t="s">
        <v>86</v>
      </c>
      <c r="E296" s="102">
        <v>0</v>
      </c>
      <c r="F296" s="101" t="s">
        <v>68</v>
      </c>
      <c r="G296" s="101" t="s">
        <v>69</v>
      </c>
      <c r="H296" s="102"/>
      <c r="I296" s="96">
        <f>I297+I302</f>
        <v>25412222.550000001</v>
      </c>
    </row>
    <row r="297" spans="1:9" x14ac:dyDescent="0.25">
      <c r="A297" s="45" t="s">
        <v>443</v>
      </c>
      <c r="B297" s="101" t="s">
        <v>112</v>
      </c>
      <c r="C297" s="101" t="s">
        <v>65</v>
      </c>
      <c r="D297" s="101" t="s">
        <v>86</v>
      </c>
      <c r="E297" s="102">
        <v>2</v>
      </c>
      <c r="F297" s="101" t="s">
        <v>68</v>
      </c>
      <c r="G297" s="101" t="s">
        <v>69</v>
      </c>
      <c r="H297" s="102"/>
      <c r="I297" s="96">
        <f>I298+I300</f>
        <v>8980534.8200000003</v>
      </c>
    </row>
    <row r="298" spans="1:9" ht="31.5" x14ac:dyDescent="0.25">
      <c r="A298" s="45" t="s">
        <v>291</v>
      </c>
      <c r="B298" s="101" t="s">
        <v>112</v>
      </c>
      <c r="C298" s="101" t="s">
        <v>65</v>
      </c>
      <c r="D298" s="101" t="s">
        <v>86</v>
      </c>
      <c r="E298" s="102">
        <v>2</v>
      </c>
      <c r="F298" s="101" t="s">
        <v>68</v>
      </c>
      <c r="G298" s="101" t="s">
        <v>292</v>
      </c>
      <c r="H298" s="102"/>
      <c r="I298" s="96">
        <f>SUM(I299:I299)</f>
        <v>8767784.4299999997</v>
      </c>
    </row>
    <row r="299" spans="1:9" x14ac:dyDescent="0.25">
      <c r="A299" s="44" t="s">
        <v>113</v>
      </c>
      <c r="B299" s="101" t="s">
        <v>112</v>
      </c>
      <c r="C299" s="101" t="s">
        <v>65</v>
      </c>
      <c r="D299" s="101" t="s">
        <v>86</v>
      </c>
      <c r="E299" s="102">
        <v>2</v>
      </c>
      <c r="F299" s="101" t="s">
        <v>68</v>
      </c>
      <c r="G299" s="101" t="s">
        <v>292</v>
      </c>
      <c r="H299" s="102">
        <v>620</v>
      </c>
      <c r="I299" s="96">
        <f>'Прил 6'!J292</f>
        <v>8767784.4299999997</v>
      </c>
    </row>
    <row r="300" spans="1:9" ht="31.5" x14ac:dyDescent="0.25">
      <c r="A300" s="45" t="s">
        <v>447</v>
      </c>
      <c r="B300" s="120" t="s">
        <v>112</v>
      </c>
      <c r="C300" s="120" t="s">
        <v>65</v>
      </c>
      <c r="D300" s="120" t="s">
        <v>86</v>
      </c>
      <c r="E300" s="121">
        <v>2</v>
      </c>
      <c r="F300" s="120" t="s">
        <v>68</v>
      </c>
      <c r="G300" s="122" t="s">
        <v>446</v>
      </c>
      <c r="H300" s="121"/>
      <c r="I300" s="96">
        <f>I301</f>
        <v>212750.39</v>
      </c>
    </row>
    <row r="301" spans="1:9" x14ac:dyDescent="0.25">
      <c r="A301" s="44" t="s">
        <v>113</v>
      </c>
      <c r="B301" s="120" t="s">
        <v>112</v>
      </c>
      <c r="C301" s="120" t="s">
        <v>65</v>
      </c>
      <c r="D301" s="120" t="s">
        <v>86</v>
      </c>
      <c r="E301" s="121">
        <v>2</v>
      </c>
      <c r="F301" s="120" t="s">
        <v>68</v>
      </c>
      <c r="G301" s="122" t="s">
        <v>446</v>
      </c>
      <c r="H301" s="121">
        <v>620</v>
      </c>
      <c r="I301" s="96">
        <f>'Прил 6'!J294</f>
        <v>212750.39</v>
      </c>
    </row>
    <row r="302" spans="1:9" x14ac:dyDescent="0.25">
      <c r="A302" s="45" t="s">
        <v>305</v>
      </c>
      <c r="B302" s="101" t="s">
        <v>112</v>
      </c>
      <c r="C302" s="101" t="s">
        <v>65</v>
      </c>
      <c r="D302" s="101" t="s">
        <v>86</v>
      </c>
      <c r="E302" s="102">
        <v>5</v>
      </c>
      <c r="F302" s="101" t="s">
        <v>68</v>
      </c>
      <c r="G302" s="101" t="s">
        <v>69</v>
      </c>
      <c r="H302" s="102"/>
      <c r="I302" s="96">
        <f>I303+I305</f>
        <v>16431687.73</v>
      </c>
    </row>
    <row r="303" spans="1:9" ht="31.5" x14ac:dyDescent="0.25">
      <c r="A303" s="45" t="s">
        <v>291</v>
      </c>
      <c r="B303" s="101" t="s">
        <v>112</v>
      </c>
      <c r="C303" s="101" t="s">
        <v>65</v>
      </c>
      <c r="D303" s="101" t="s">
        <v>86</v>
      </c>
      <c r="E303" s="102">
        <v>5</v>
      </c>
      <c r="F303" s="101" t="s">
        <v>68</v>
      </c>
      <c r="G303" s="101" t="s">
        <v>292</v>
      </c>
      <c r="H303" s="102"/>
      <c r="I303" s="96">
        <f>I304</f>
        <v>16431687.73</v>
      </c>
    </row>
    <row r="304" spans="1:9" x14ac:dyDescent="0.25">
      <c r="A304" s="44" t="s">
        <v>113</v>
      </c>
      <c r="B304" s="101" t="s">
        <v>112</v>
      </c>
      <c r="C304" s="101" t="s">
        <v>65</v>
      </c>
      <c r="D304" s="101" t="s">
        <v>86</v>
      </c>
      <c r="E304" s="102">
        <v>5</v>
      </c>
      <c r="F304" s="101" t="s">
        <v>68</v>
      </c>
      <c r="G304" s="101" t="s">
        <v>292</v>
      </c>
      <c r="H304" s="102">
        <v>620</v>
      </c>
      <c r="I304" s="96">
        <f>'Прил 6'!J297</f>
        <v>16431687.73</v>
      </c>
    </row>
    <row r="305" spans="1:9" ht="63" hidden="1" x14ac:dyDescent="0.25">
      <c r="A305" s="44" t="s">
        <v>427</v>
      </c>
      <c r="B305" s="101" t="s">
        <v>112</v>
      </c>
      <c r="C305" s="101" t="s">
        <v>65</v>
      </c>
      <c r="D305" s="101" t="s">
        <v>86</v>
      </c>
      <c r="E305" s="102">
        <v>5</v>
      </c>
      <c r="F305" s="101" t="s">
        <v>68</v>
      </c>
      <c r="G305" s="101" t="s">
        <v>306</v>
      </c>
      <c r="H305" s="102"/>
      <c r="I305" s="96">
        <f>I306</f>
        <v>0</v>
      </c>
    </row>
    <row r="306" spans="1:9" hidden="1" x14ac:dyDescent="0.25">
      <c r="A306" s="44" t="s">
        <v>113</v>
      </c>
      <c r="B306" s="101" t="s">
        <v>112</v>
      </c>
      <c r="C306" s="101" t="s">
        <v>65</v>
      </c>
      <c r="D306" s="101" t="s">
        <v>86</v>
      </c>
      <c r="E306" s="102">
        <v>5</v>
      </c>
      <c r="F306" s="101" t="s">
        <v>68</v>
      </c>
      <c r="G306" s="101" t="s">
        <v>306</v>
      </c>
      <c r="H306" s="102">
        <v>620</v>
      </c>
      <c r="I306" s="96">
        <f>'Прил 6'!J299</f>
        <v>0</v>
      </c>
    </row>
    <row r="307" spans="1:9" ht="47.25" hidden="1" x14ac:dyDescent="0.25">
      <c r="A307" s="44" t="s">
        <v>182</v>
      </c>
      <c r="B307" s="101" t="s">
        <v>112</v>
      </c>
      <c r="C307" s="101" t="s">
        <v>65</v>
      </c>
      <c r="D307" s="101" t="s">
        <v>88</v>
      </c>
      <c r="E307" s="102">
        <v>0</v>
      </c>
      <c r="F307" s="101" t="s">
        <v>68</v>
      </c>
      <c r="G307" s="101" t="s">
        <v>69</v>
      </c>
      <c r="H307" s="102"/>
      <c r="I307" s="97">
        <f>I308</f>
        <v>0</v>
      </c>
    </row>
    <row r="308" spans="1:9" hidden="1" x14ac:dyDescent="0.25">
      <c r="A308" s="44" t="s">
        <v>307</v>
      </c>
      <c r="B308" s="101" t="s">
        <v>112</v>
      </c>
      <c r="C308" s="101" t="s">
        <v>65</v>
      </c>
      <c r="D308" s="101" t="s">
        <v>88</v>
      </c>
      <c r="E308" s="102">
        <v>3</v>
      </c>
      <c r="F308" s="101" t="s">
        <v>68</v>
      </c>
      <c r="G308" s="101" t="s">
        <v>69</v>
      </c>
      <c r="H308" s="102"/>
      <c r="I308" s="97">
        <f>I310+I312</f>
        <v>0</v>
      </c>
    </row>
    <row r="309" spans="1:9" hidden="1" x14ac:dyDescent="0.25">
      <c r="A309" s="44" t="s">
        <v>184</v>
      </c>
      <c r="B309" s="101" t="s">
        <v>112</v>
      </c>
      <c r="C309" s="101" t="s">
        <v>65</v>
      </c>
      <c r="D309" s="101" t="s">
        <v>88</v>
      </c>
      <c r="E309" s="102">
        <v>3</v>
      </c>
      <c r="F309" s="101" t="s">
        <v>65</v>
      </c>
      <c r="G309" s="101" t="s">
        <v>69</v>
      </c>
      <c r="H309" s="102"/>
      <c r="I309" s="97">
        <f>I310</f>
        <v>0</v>
      </c>
    </row>
    <row r="310" spans="1:9" ht="31.5" hidden="1" x14ac:dyDescent="0.25">
      <c r="A310" s="45" t="s">
        <v>185</v>
      </c>
      <c r="B310" s="101" t="s">
        <v>112</v>
      </c>
      <c r="C310" s="101" t="s">
        <v>65</v>
      </c>
      <c r="D310" s="101" t="s">
        <v>88</v>
      </c>
      <c r="E310" s="101" t="s">
        <v>74</v>
      </c>
      <c r="F310" s="101" t="s">
        <v>65</v>
      </c>
      <c r="G310" s="101" t="s">
        <v>186</v>
      </c>
      <c r="H310" s="101"/>
      <c r="I310" s="97">
        <f>I311</f>
        <v>0</v>
      </c>
    </row>
    <row r="311" spans="1:9" ht="31.5" hidden="1" x14ac:dyDescent="0.25">
      <c r="A311" s="45" t="s">
        <v>75</v>
      </c>
      <c r="B311" s="101" t="s">
        <v>112</v>
      </c>
      <c r="C311" s="101" t="s">
        <v>65</v>
      </c>
      <c r="D311" s="101" t="s">
        <v>88</v>
      </c>
      <c r="E311" s="101" t="s">
        <v>74</v>
      </c>
      <c r="F311" s="101" t="s">
        <v>65</v>
      </c>
      <c r="G311" s="101" t="s">
        <v>186</v>
      </c>
      <c r="H311" s="101" t="s">
        <v>76</v>
      </c>
      <c r="I311" s="97">
        <f>'Прил 6'!J304</f>
        <v>0</v>
      </c>
    </row>
    <row r="312" spans="1:9" ht="47.25" hidden="1" x14ac:dyDescent="0.25">
      <c r="A312" s="44" t="s">
        <v>429</v>
      </c>
      <c r="B312" s="101" t="s">
        <v>112</v>
      </c>
      <c r="C312" s="101" t="s">
        <v>65</v>
      </c>
      <c r="D312" s="101" t="s">
        <v>88</v>
      </c>
      <c r="E312" s="102">
        <v>3</v>
      </c>
      <c r="F312" s="101" t="s">
        <v>66</v>
      </c>
      <c r="G312" s="101" t="s">
        <v>69</v>
      </c>
      <c r="H312" s="102"/>
      <c r="I312" s="97">
        <f>I313</f>
        <v>0</v>
      </c>
    </row>
    <row r="313" spans="1:9" ht="31.5" hidden="1" x14ac:dyDescent="0.25">
      <c r="A313" s="45" t="s">
        <v>185</v>
      </c>
      <c r="B313" s="101" t="s">
        <v>112</v>
      </c>
      <c r="C313" s="101" t="s">
        <v>65</v>
      </c>
      <c r="D313" s="101" t="s">
        <v>88</v>
      </c>
      <c r="E313" s="101" t="s">
        <v>74</v>
      </c>
      <c r="F313" s="101" t="s">
        <v>66</v>
      </c>
      <c r="G313" s="101" t="s">
        <v>186</v>
      </c>
      <c r="H313" s="101"/>
      <c r="I313" s="97">
        <f>I314</f>
        <v>0</v>
      </c>
    </row>
    <row r="314" spans="1:9" ht="31.5" hidden="1" x14ac:dyDescent="0.25">
      <c r="A314" s="45" t="s">
        <v>75</v>
      </c>
      <c r="B314" s="101" t="s">
        <v>112</v>
      </c>
      <c r="C314" s="101" t="s">
        <v>65</v>
      </c>
      <c r="D314" s="101" t="s">
        <v>88</v>
      </c>
      <c r="E314" s="101" t="s">
        <v>74</v>
      </c>
      <c r="F314" s="101" t="s">
        <v>66</v>
      </c>
      <c r="G314" s="101" t="s">
        <v>186</v>
      </c>
      <c r="H314" s="101" t="s">
        <v>76</v>
      </c>
      <c r="I314" s="97">
        <f>'Прил 6'!J307</f>
        <v>0</v>
      </c>
    </row>
    <row r="315" spans="1:9" x14ac:dyDescent="0.25">
      <c r="A315" s="45" t="s">
        <v>80</v>
      </c>
      <c r="B315" s="115" t="s">
        <v>112</v>
      </c>
      <c r="C315" s="115" t="s">
        <v>65</v>
      </c>
      <c r="D315" s="115" t="s">
        <v>81</v>
      </c>
      <c r="E315" s="116">
        <v>0</v>
      </c>
      <c r="F315" s="115" t="s">
        <v>67</v>
      </c>
      <c r="G315" s="115" t="s">
        <v>69</v>
      </c>
      <c r="H315" s="115"/>
      <c r="I315" s="97">
        <f>I316</f>
        <v>1568956.65</v>
      </c>
    </row>
    <row r="316" spans="1:9" x14ac:dyDescent="0.25">
      <c r="A316" s="45" t="s">
        <v>207</v>
      </c>
      <c r="B316" s="115" t="s">
        <v>112</v>
      </c>
      <c r="C316" s="115" t="s">
        <v>65</v>
      </c>
      <c r="D316" s="115" t="s">
        <v>81</v>
      </c>
      <c r="E316" s="116">
        <v>9</v>
      </c>
      <c r="F316" s="115" t="s">
        <v>67</v>
      </c>
      <c r="G316" s="115" t="s">
        <v>69</v>
      </c>
      <c r="H316" s="115"/>
      <c r="I316" s="97">
        <f>I317+I319</f>
        <v>1568956.65</v>
      </c>
    </row>
    <row r="317" spans="1:9" ht="63" x14ac:dyDescent="0.25">
      <c r="A317" s="45" t="s">
        <v>308</v>
      </c>
      <c r="B317" s="101" t="s">
        <v>112</v>
      </c>
      <c r="C317" s="101" t="s">
        <v>65</v>
      </c>
      <c r="D317" s="101" t="s">
        <v>81</v>
      </c>
      <c r="E317" s="102">
        <v>9</v>
      </c>
      <c r="F317" s="101" t="s">
        <v>68</v>
      </c>
      <c r="G317" s="101" t="s">
        <v>126</v>
      </c>
      <c r="H317" s="102"/>
      <c r="I317" s="96">
        <f>I318</f>
        <v>52918.98</v>
      </c>
    </row>
    <row r="318" spans="1:9" x14ac:dyDescent="0.25">
      <c r="A318" s="44" t="s">
        <v>113</v>
      </c>
      <c r="B318" s="101" t="s">
        <v>112</v>
      </c>
      <c r="C318" s="101" t="s">
        <v>65</v>
      </c>
      <c r="D318" s="101" t="s">
        <v>81</v>
      </c>
      <c r="E318" s="102">
        <v>9</v>
      </c>
      <c r="F318" s="101" t="s">
        <v>68</v>
      </c>
      <c r="G318" s="101" t="s">
        <v>126</v>
      </c>
      <c r="H318" s="102">
        <v>620</v>
      </c>
      <c r="I318" s="96">
        <f>'Прил 6'!J315</f>
        <v>52918.98</v>
      </c>
    </row>
    <row r="319" spans="1:9" ht="31.5" x14ac:dyDescent="0.25">
      <c r="A319" s="45" t="s">
        <v>395</v>
      </c>
      <c r="B319" s="101" t="s">
        <v>112</v>
      </c>
      <c r="C319" s="101" t="s">
        <v>65</v>
      </c>
      <c r="D319" s="101" t="s">
        <v>81</v>
      </c>
      <c r="E319" s="102">
        <v>9</v>
      </c>
      <c r="F319" s="101" t="s">
        <v>68</v>
      </c>
      <c r="G319" s="101" t="s">
        <v>394</v>
      </c>
      <c r="H319" s="102"/>
      <c r="I319" s="96">
        <f>SUM(I320:I320)</f>
        <v>1516037.67</v>
      </c>
    </row>
    <row r="320" spans="1:9" x14ac:dyDescent="0.25">
      <c r="A320" s="44" t="s">
        <v>113</v>
      </c>
      <c r="B320" s="101" t="s">
        <v>112</v>
      </c>
      <c r="C320" s="101" t="s">
        <v>65</v>
      </c>
      <c r="D320" s="101" t="s">
        <v>81</v>
      </c>
      <c r="E320" s="102">
        <v>9</v>
      </c>
      <c r="F320" s="101" t="s">
        <v>68</v>
      </c>
      <c r="G320" s="101" t="s">
        <v>394</v>
      </c>
      <c r="H320" s="102">
        <v>620</v>
      </c>
      <c r="I320" s="96">
        <f>'Прил 6'!J317</f>
        <v>1516037.67</v>
      </c>
    </row>
    <row r="321" spans="1:9" x14ac:dyDescent="0.25">
      <c r="A321" s="44" t="s">
        <v>127</v>
      </c>
      <c r="B321" s="101" t="s">
        <v>112</v>
      </c>
      <c r="C321" s="101" t="s">
        <v>83</v>
      </c>
      <c r="D321" s="101"/>
      <c r="E321" s="102"/>
      <c r="F321" s="101"/>
      <c r="G321" s="101"/>
      <c r="H321" s="102"/>
      <c r="I321" s="97">
        <f>I322</f>
        <v>779561.54</v>
      </c>
    </row>
    <row r="322" spans="1:9" ht="47.25" x14ac:dyDescent="0.25">
      <c r="A322" s="45" t="s">
        <v>299</v>
      </c>
      <c r="B322" s="101" t="s">
        <v>112</v>
      </c>
      <c r="C322" s="101" t="s">
        <v>83</v>
      </c>
      <c r="D322" s="101" t="s">
        <v>86</v>
      </c>
      <c r="E322" s="102">
        <v>0</v>
      </c>
      <c r="F322" s="101" t="s">
        <v>68</v>
      </c>
      <c r="G322" s="101" t="s">
        <v>69</v>
      </c>
      <c r="H322" s="102"/>
      <c r="I322" s="97">
        <f>I323</f>
        <v>779561.54</v>
      </c>
    </row>
    <row r="323" spans="1:9" x14ac:dyDescent="0.25">
      <c r="A323" s="45" t="s">
        <v>309</v>
      </c>
      <c r="B323" s="101" t="s">
        <v>112</v>
      </c>
      <c r="C323" s="101" t="s">
        <v>83</v>
      </c>
      <c r="D323" s="101" t="s">
        <v>86</v>
      </c>
      <c r="E323" s="102">
        <v>3</v>
      </c>
      <c r="F323" s="101" t="s">
        <v>68</v>
      </c>
      <c r="G323" s="101" t="s">
        <v>69</v>
      </c>
      <c r="H323" s="102"/>
      <c r="I323" s="97">
        <f>I324+I326+I328</f>
        <v>779561.54</v>
      </c>
    </row>
    <row r="324" spans="1:9" x14ac:dyDescent="0.25">
      <c r="A324" s="45" t="s">
        <v>310</v>
      </c>
      <c r="B324" s="101" t="s">
        <v>112</v>
      </c>
      <c r="C324" s="101" t="s">
        <v>83</v>
      </c>
      <c r="D324" s="101" t="s">
        <v>86</v>
      </c>
      <c r="E324" s="102">
        <v>3</v>
      </c>
      <c r="F324" s="101" t="s">
        <v>68</v>
      </c>
      <c r="G324" s="101" t="s">
        <v>311</v>
      </c>
      <c r="H324" s="102"/>
      <c r="I324" s="97">
        <f>I325</f>
        <v>100000</v>
      </c>
    </row>
    <row r="325" spans="1:9" x14ac:dyDescent="0.25">
      <c r="A325" s="45" t="s">
        <v>91</v>
      </c>
      <c r="B325" s="101" t="s">
        <v>112</v>
      </c>
      <c r="C325" s="101" t="s">
        <v>83</v>
      </c>
      <c r="D325" s="101" t="s">
        <v>86</v>
      </c>
      <c r="E325" s="102">
        <v>3</v>
      </c>
      <c r="F325" s="101" t="s">
        <v>68</v>
      </c>
      <c r="G325" s="101" t="s">
        <v>311</v>
      </c>
      <c r="H325" s="102">
        <v>350</v>
      </c>
      <c r="I325" s="97">
        <f>'Прил 6'!J322</f>
        <v>100000</v>
      </c>
    </row>
    <row r="326" spans="1:9" x14ac:dyDescent="0.25">
      <c r="A326" s="45" t="s">
        <v>312</v>
      </c>
      <c r="B326" s="101" t="s">
        <v>112</v>
      </c>
      <c r="C326" s="101" t="s">
        <v>83</v>
      </c>
      <c r="D326" s="101" t="s">
        <v>86</v>
      </c>
      <c r="E326" s="102">
        <v>3</v>
      </c>
      <c r="F326" s="101" t="s">
        <v>68</v>
      </c>
      <c r="G326" s="101" t="s">
        <v>313</v>
      </c>
      <c r="H326" s="102"/>
      <c r="I326" s="97">
        <f>I327</f>
        <v>288657.53999999998</v>
      </c>
    </row>
    <row r="327" spans="1:9" ht="31.5" x14ac:dyDescent="0.25">
      <c r="A327" s="45" t="s">
        <v>75</v>
      </c>
      <c r="B327" s="101" t="s">
        <v>112</v>
      </c>
      <c r="C327" s="101" t="s">
        <v>83</v>
      </c>
      <c r="D327" s="101" t="s">
        <v>86</v>
      </c>
      <c r="E327" s="102">
        <v>3</v>
      </c>
      <c r="F327" s="101" t="s">
        <v>68</v>
      </c>
      <c r="G327" s="101" t="s">
        <v>313</v>
      </c>
      <c r="H327" s="102">
        <v>240</v>
      </c>
      <c r="I327" s="97">
        <f>'Прил 6'!J324</f>
        <v>288657.53999999998</v>
      </c>
    </row>
    <row r="328" spans="1:9" x14ac:dyDescent="0.25">
      <c r="A328" s="45" t="s">
        <v>314</v>
      </c>
      <c r="B328" s="101" t="s">
        <v>112</v>
      </c>
      <c r="C328" s="101" t="s">
        <v>83</v>
      </c>
      <c r="D328" s="101" t="s">
        <v>86</v>
      </c>
      <c r="E328" s="102">
        <v>3</v>
      </c>
      <c r="F328" s="101" t="s">
        <v>68</v>
      </c>
      <c r="G328" s="101" t="s">
        <v>315</v>
      </c>
      <c r="H328" s="102"/>
      <c r="I328" s="97">
        <f>I329</f>
        <v>390904</v>
      </c>
    </row>
    <row r="329" spans="1:9" ht="31.5" x14ac:dyDescent="0.25">
      <c r="A329" s="45" t="s">
        <v>75</v>
      </c>
      <c r="B329" s="101" t="s">
        <v>112</v>
      </c>
      <c r="C329" s="101" t="s">
        <v>83</v>
      </c>
      <c r="D329" s="101" t="s">
        <v>86</v>
      </c>
      <c r="E329" s="102">
        <v>3</v>
      </c>
      <c r="F329" s="101" t="s">
        <v>68</v>
      </c>
      <c r="G329" s="101" t="s">
        <v>315</v>
      </c>
      <c r="H329" s="102">
        <v>240</v>
      </c>
      <c r="I329" s="97">
        <f>'Прил 6'!J326</f>
        <v>390904</v>
      </c>
    </row>
    <row r="330" spans="1:9" x14ac:dyDescent="0.25">
      <c r="A330" s="50" t="s">
        <v>128</v>
      </c>
      <c r="B330" s="101">
        <v>10</v>
      </c>
      <c r="C330" s="101"/>
      <c r="D330" s="101"/>
      <c r="E330" s="102"/>
      <c r="F330" s="101"/>
      <c r="G330" s="101"/>
      <c r="H330" s="102"/>
      <c r="I330" s="97">
        <f>I331</f>
        <v>783240</v>
      </c>
    </row>
    <row r="331" spans="1:9" x14ac:dyDescent="0.25">
      <c r="A331" s="44" t="s">
        <v>129</v>
      </c>
      <c r="B331" s="101" t="s">
        <v>90</v>
      </c>
      <c r="C331" s="101" t="s">
        <v>72</v>
      </c>
      <c r="D331" s="101"/>
      <c r="E331" s="101"/>
      <c r="F331" s="101"/>
      <c r="G331" s="101"/>
      <c r="H331" s="102"/>
      <c r="I331" s="97">
        <f>I332+I336</f>
        <v>783240</v>
      </c>
    </row>
    <row r="332" spans="1:9" x14ac:dyDescent="0.25">
      <c r="A332" s="45" t="s">
        <v>316</v>
      </c>
      <c r="B332" s="101" t="s">
        <v>90</v>
      </c>
      <c r="C332" s="101" t="s">
        <v>72</v>
      </c>
      <c r="D332" s="101" t="s">
        <v>317</v>
      </c>
      <c r="E332" s="102">
        <v>0</v>
      </c>
      <c r="F332" s="101" t="s">
        <v>68</v>
      </c>
      <c r="G332" s="101" t="s">
        <v>69</v>
      </c>
      <c r="H332" s="102"/>
      <c r="I332" s="97">
        <f>I333</f>
        <v>708240</v>
      </c>
    </row>
    <row r="333" spans="1:9" x14ac:dyDescent="0.25">
      <c r="A333" s="45" t="s">
        <v>318</v>
      </c>
      <c r="B333" s="101" t="s">
        <v>90</v>
      </c>
      <c r="C333" s="101" t="s">
        <v>72</v>
      </c>
      <c r="D333" s="101" t="s">
        <v>317</v>
      </c>
      <c r="E333" s="102">
        <v>3</v>
      </c>
      <c r="F333" s="101" t="s">
        <v>68</v>
      </c>
      <c r="G333" s="101" t="s">
        <v>69</v>
      </c>
      <c r="H333" s="102"/>
      <c r="I333" s="97">
        <f>I334</f>
        <v>708240</v>
      </c>
    </row>
    <row r="334" spans="1:9" ht="31.5" x14ac:dyDescent="0.25">
      <c r="A334" s="45" t="s">
        <v>319</v>
      </c>
      <c r="B334" s="101" t="s">
        <v>90</v>
      </c>
      <c r="C334" s="101" t="s">
        <v>72</v>
      </c>
      <c r="D334" s="101" t="s">
        <v>317</v>
      </c>
      <c r="E334" s="102">
        <v>3</v>
      </c>
      <c r="F334" s="101" t="s">
        <v>68</v>
      </c>
      <c r="G334" s="101" t="s">
        <v>320</v>
      </c>
      <c r="H334" s="102"/>
      <c r="I334" s="97">
        <f>I335</f>
        <v>708240</v>
      </c>
    </row>
    <row r="335" spans="1:9" ht="31.5" x14ac:dyDescent="0.25">
      <c r="A335" s="45" t="s">
        <v>248</v>
      </c>
      <c r="B335" s="101" t="s">
        <v>90</v>
      </c>
      <c r="C335" s="101" t="s">
        <v>72</v>
      </c>
      <c r="D335" s="101" t="s">
        <v>317</v>
      </c>
      <c r="E335" s="102">
        <v>3</v>
      </c>
      <c r="F335" s="101" t="s">
        <v>68</v>
      </c>
      <c r="G335" s="101" t="s">
        <v>320</v>
      </c>
      <c r="H335" s="102">
        <v>810</v>
      </c>
      <c r="I335" s="97">
        <f>'Прил 6'!J332</f>
        <v>708240</v>
      </c>
    </row>
    <row r="336" spans="1:9" x14ac:dyDescent="0.25">
      <c r="A336" s="45" t="s">
        <v>80</v>
      </c>
      <c r="B336" s="101" t="s">
        <v>90</v>
      </c>
      <c r="C336" s="101" t="s">
        <v>72</v>
      </c>
      <c r="D336" s="101" t="s">
        <v>81</v>
      </c>
      <c r="E336" s="102">
        <v>0</v>
      </c>
      <c r="F336" s="101" t="s">
        <v>68</v>
      </c>
      <c r="G336" s="101" t="s">
        <v>69</v>
      </c>
      <c r="H336" s="102"/>
      <c r="I336" s="97">
        <f>I337</f>
        <v>75000</v>
      </c>
    </row>
    <row r="337" spans="1:9" x14ac:dyDescent="0.25">
      <c r="A337" s="45" t="s">
        <v>207</v>
      </c>
      <c r="B337" s="101" t="s">
        <v>90</v>
      </c>
      <c r="C337" s="101" t="s">
        <v>72</v>
      </c>
      <c r="D337" s="101" t="s">
        <v>81</v>
      </c>
      <c r="E337" s="102">
        <v>9</v>
      </c>
      <c r="F337" s="101" t="s">
        <v>68</v>
      </c>
      <c r="G337" s="101" t="s">
        <v>69</v>
      </c>
      <c r="H337" s="102"/>
      <c r="I337" s="97">
        <f>I338</f>
        <v>75000</v>
      </c>
    </row>
    <row r="338" spans="1:9" x14ac:dyDescent="0.25">
      <c r="A338" s="45" t="s">
        <v>321</v>
      </c>
      <c r="B338" s="101" t="s">
        <v>90</v>
      </c>
      <c r="C338" s="101" t="s">
        <v>72</v>
      </c>
      <c r="D338" s="101" t="s">
        <v>81</v>
      </c>
      <c r="E338" s="102">
        <v>9</v>
      </c>
      <c r="F338" s="101" t="s">
        <v>68</v>
      </c>
      <c r="G338" s="101" t="s">
        <v>322</v>
      </c>
      <c r="H338" s="102"/>
      <c r="I338" s="96">
        <f>I339</f>
        <v>75000</v>
      </c>
    </row>
    <row r="339" spans="1:9" x14ac:dyDescent="0.25">
      <c r="A339" s="45" t="s">
        <v>130</v>
      </c>
      <c r="B339" s="101" t="s">
        <v>90</v>
      </c>
      <c r="C339" s="101" t="s">
        <v>72</v>
      </c>
      <c r="D339" s="101" t="s">
        <v>81</v>
      </c>
      <c r="E339" s="102">
        <v>9</v>
      </c>
      <c r="F339" s="101" t="s">
        <v>68</v>
      </c>
      <c r="G339" s="101" t="s">
        <v>322</v>
      </c>
      <c r="H339" s="102">
        <v>310</v>
      </c>
      <c r="I339" s="96">
        <f>'Прил 6'!J336</f>
        <v>75000</v>
      </c>
    </row>
    <row r="340" spans="1:9" x14ac:dyDescent="0.25">
      <c r="A340" s="50" t="s">
        <v>131</v>
      </c>
      <c r="B340" s="101">
        <v>11</v>
      </c>
      <c r="C340" s="101"/>
      <c r="D340" s="101"/>
      <c r="E340" s="102"/>
      <c r="F340" s="101"/>
      <c r="G340" s="101"/>
      <c r="H340" s="102"/>
      <c r="I340" s="97">
        <f>I341</f>
        <v>3683796.83</v>
      </c>
    </row>
    <row r="341" spans="1:9" x14ac:dyDescent="0.25">
      <c r="A341" s="44" t="s">
        <v>132</v>
      </c>
      <c r="B341" s="101">
        <v>11</v>
      </c>
      <c r="C341" s="101" t="s">
        <v>84</v>
      </c>
      <c r="D341" s="101"/>
      <c r="E341" s="102"/>
      <c r="F341" s="101"/>
      <c r="G341" s="101"/>
      <c r="H341" s="102"/>
      <c r="I341" s="97">
        <f>I342</f>
        <v>3683796.83</v>
      </c>
    </row>
    <row r="342" spans="1:9" ht="47.25" x14ac:dyDescent="0.25">
      <c r="A342" s="45" t="s">
        <v>299</v>
      </c>
      <c r="B342" s="101" t="s">
        <v>94</v>
      </c>
      <c r="C342" s="101" t="s">
        <v>84</v>
      </c>
      <c r="D342" s="101" t="s">
        <v>86</v>
      </c>
      <c r="E342" s="102">
        <v>0</v>
      </c>
      <c r="F342" s="101" t="s">
        <v>68</v>
      </c>
      <c r="G342" s="101" t="s">
        <v>69</v>
      </c>
      <c r="H342" s="102"/>
      <c r="I342" s="97">
        <f>I343</f>
        <v>3683796.83</v>
      </c>
    </row>
    <row r="343" spans="1:9" ht="47.25" x14ac:dyDescent="0.25">
      <c r="A343" s="45" t="s">
        <v>323</v>
      </c>
      <c r="B343" s="101" t="s">
        <v>94</v>
      </c>
      <c r="C343" s="101" t="s">
        <v>84</v>
      </c>
      <c r="D343" s="101" t="s">
        <v>86</v>
      </c>
      <c r="E343" s="102">
        <v>4</v>
      </c>
      <c r="F343" s="101" t="s">
        <v>68</v>
      </c>
      <c r="G343" s="101" t="s">
        <v>69</v>
      </c>
      <c r="H343" s="102"/>
      <c r="I343" s="97">
        <f>I344+I346+I348+I350</f>
        <v>3683796.83</v>
      </c>
    </row>
    <row r="344" spans="1:9" x14ac:dyDescent="0.25">
      <c r="A344" s="45" t="s">
        <v>324</v>
      </c>
      <c r="B344" s="101" t="s">
        <v>94</v>
      </c>
      <c r="C344" s="101" t="s">
        <v>84</v>
      </c>
      <c r="D344" s="101" t="s">
        <v>86</v>
      </c>
      <c r="E344" s="102">
        <v>4</v>
      </c>
      <c r="F344" s="101" t="s">
        <v>68</v>
      </c>
      <c r="G344" s="101" t="s">
        <v>325</v>
      </c>
      <c r="H344" s="102"/>
      <c r="I344" s="97">
        <f>I345</f>
        <v>685000</v>
      </c>
    </row>
    <row r="345" spans="1:9" ht="31.5" x14ac:dyDescent="0.25">
      <c r="A345" s="45" t="s">
        <v>75</v>
      </c>
      <c r="B345" s="101" t="s">
        <v>94</v>
      </c>
      <c r="C345" s="101" t="s">
        <v>84</v>
      </c>
      <c r="D345" s="101" t="s">
        <v>86</v>
      </c>
      <c r="E345" s="102">
        <v>4</v>
      </c>
      <c r="F345" s="101" t="s">
        <v>68</v>
      </c>
      <c r="G345" s="101" t="s">
        <v>325</v>
      </c>
      <c r="H345" s="102">
        <v>240</v>
      </c>
      <c r="I345" s="97">
        <f>'Прил 6'!J342</f>
        <v>685000</v>
      </c>
    </row>
    <row r="346" spans="1:9" x14ac:dyDescent="0.25">
      <c r="A346" s="45" t="s">
        <v>515</v>
      </c>
      <c r="B346" s="202" t="s">
        <v>94</v>
      </c>
      <c r="C346" s="202" t="s">
        <v>84</v>
      </c>
      <c r="D346" s="202" t="s">
        <v>86</v>
      </c>
      <c r="E346" s="203">
        <v>4</v>
      </c>
      <c r="F346" s="202" t="s">
        <v>68</v>
      </c>
      <c r="G346" s="202" t="s">
        <v>514</v>
      </c>
      <c r="H346" s="203"/>
      <c r="I346" s="97">
        <f>I347</f>
        <v>66840</v>
      </c>
    </row>
    <row r="347" spans="1:9" ht="31.5" x14ac:dyDescent="0.25">
      <c r="A347" s="45" t="s">
        <v>75</v>
      </c>
      <c r="B347" s="202" t="s">
        <v>94</v>
      </c>
      <c r="C347" s="202" t="s">
        <v>84</v>
      </c>
      <c r="D347" s="202" t="s">
        <v>86</v>
      </c>
      <c r="E347" s="203">
        <v>4</v>
      </c>
      <c r="F347" s="202" t="s">
        <v>68</v>
      </c>
      <c r="G347" s="202" t="s">
        <v>514</v>
      </c>
      <c r="H347" s="203">
        <v>240</v>
      </c>
      <c r="I347" s="97">
        <f>'Прил 6'!J344</f>
        <v>66840</v>
      </c>
    </row>
    <row r="348" spans="1:9" x14ac:dyDescent="0.25">
      <c r="A348" s="45" t="s">
        <v>273</v>
      </c>
      <c r="B348" s="101" t="s">
        <v>94</v>
      </c>
      <c r="C348" s="101" t="s">
        <v>84</v>
      </c>
      <c r="D348" s="101" t="s">
        <v>86</v>
      </c>
      <c r="E348" s="102">
        <v>4</v>
      </c>
      <c r="F348" s="101" t="s">
        <v>68</v>
      </c>
      <c r="G348" s="101" t="s">
        <v>274</v>
      </c>
      <c r="H348" s="102"/>
      <c r="I348" s="97">
        <f>I349</f>
        <v>1432156.83</v>
      </c>
    </row>
    <row r="349" spans="1:9" ht="31.5" x14ac:dyDescent="0.25">
      <c r="A349" s="45" t="s">
        <v>75</v>
      </c>
      <c r="B349" s="101" t="s">
        <v>94</v>
      </c>
      <c r="C349" s="101" t="s">
        <v>84</v>
      </c>
      <c r="D349" s="101" t="s">
        <v>86</v>
      </c>
      <c r="E349" s="102">
        <v>4</v>
      </c>
      <c r="F349" s="101" t="s">
        <v>68</v>
      </c>
      <c r="G349" s="101" t="s">
        <v>274</v>
      </c>
      <c r="H349" s="102">
        <v>240</v>
      </c>
      <c r="I349" s="97">
        <f>'Прил 6'!J346</f>
        <v>1432156.83</v>
      </c>
    </row>
    <row r="350" spans="1:9" x14ac:dyDescent="0.25">
      <c r="A350" s="45" t="s">
        <v>326</v>
      </c>
      <c r="B350" s="101" t="s">
        <v>94</v>
      </c>
      <c r="C350" s="101" t="s">
        <v>84</v>
      </c>
      <c r="D350" s="101" t="s">
        <v>86</v>
      </c>
      <c r="E350" s="102">
        <v>4</v>
      </c>
      <c r="F350" s="101" t="s">
        <v>68</v>
      </c>
      <c r="G350" s="101" t="s">
        <v>327</v>
      </c>
      <c r="H350" s="102"/>
      <c r="I350" s="97">
        <f>I351</f>
        <v>1499800</v>
      </c>
    </row>
    <row r="351" spans="1:9" ht="31.5" x14ac:dyDescent="0.25">
      <c r="A351" s="45" t="s">
        <v>75</v>
      </c>
      <c r="B351" s="101" t="s">
        <v>94</v>
      </c>
      <c r="C351" s="101" t="s">
        <v>84</v>
      </c>
      <c r="D351" s="101" t="s">
        <v>86</v>
      </c>
      <c r="E351" s="102">
        <v>4</v>
      </c>
      <c r="F351" s="101" t="s">
        <v>68</v>
      </c>
      <c r="G351" s="101" t="s">
        <v>327</v>
      </c>
      <c r="H351" s="102">
        <v>240</v>
      </c>
      <c r="I351" s="97">
        <f>'Прил 6'!J348</f>
        <v>1499800</v>
      </c>
    </row>
    <row r="352" spans="1:9" x14ac:dyDescent="0.25">
      <c r="A352" s="53" t="s">
        <v>133</v>
      </c>
      <c r="B352" s="54"/>
      <c r="C352" s="55"/>
      <c r="D352" s="54"/>
      <c r="E352" s="55"/>
      <c r="F352" s="54"/>
      <c r="G352" s="56"/>
      <c r="H352" s="56"/>
      <c r="I352" s="98">
        <f>I22+I145+I154+I181+I211+I282+I294+I330+I340</f>
        <v>228810921.28000006</v>
      </c>
    </row>
    <row r="353" spans="1:9" x14ac:dyDescent="0.25">
      <c r="A353" s="106"/>
      <c r="B353" s="107"/>
      <c r="C353" s="107"/>
      <c r="D353" s="107"/>
      <c r="E353" s="107"/>
      <c r="F353" s="107"/>
      <c r="G353" s="107"/>
      <c r="H353" s="107"/>
      <c r="I353" s="108">
        <f>'Прил 1'!C51</f>
        <v>176389919.13999999</v>
      </c>
    </row>
    <row r="354" spans="1:9" x14ac:dyDescent="0.25">
      <c r="A354" s="106"/>
      <c r="B354" s="107"/>
      <c r="C354" s="107"/>
      <c r="D354" s="107"/>
      <c r="E354" s="107"/>
      <c r="F354" s="107"/>
      <c r="G354" s="107"/>
      <c r="H354" s="107"/>
      <c r="I354" s="108">
        <f>I353-I352</f>
        <v>-52421002.140000075</v>
      </c>
    </row>
    <row r="355" spans="1:9" x14ac:dyDescent="0.25">
      <c r="A355" s="106"/>
      <c r="B355" s="107"/>
      <c r="C355" s="107"/>
      <c r="D355" s="107"/>
      <c r="E355" s="107"/>
      <c r="F355" s="107"/>
      <c r="G355" s="107"/>
      <c r="H355" s="107"/>
      <c r="I355" s="109"/>
    </row>
  </sheetData>
  <mergeCells count="25">
    <mergeCell ref="B6:I6"/>
    <mergeCell ref="B7:I7"/>
    <mergeCell ref="B1:I1"/>
    <mergeCell ref="B2:I2"/>
    <mergeCell ref="B3:I3"/>
    <mergeCell ref="B4:I4"/>
    <mergeCell ref="B5:I5"/>
    <mergeCell ref="B9:I9"/>
    <mergeCell ref="B14:I14"/>
    <mergeCell ref="B13:I13"/>
    <mergeCell ref="B12:I12"/>
    <mergeCell ref="B11:I11"/>
    <mergeCell ref="B10:I10"/>
    <mergeCell ref="A20:A21"/>
    <mergeCell ref="B20:H20"/>
    <mergeCell ref="I20:I21"/>
    <mergeCell ref="D21:G21"/>
    <mergeCell ref="A17:I17"/>
    <mergeCell ref="A19:I19"/>
    <mergeCell ref="G47:G48"/>
    <mergeCell ref="B47:B48"/>
    <mergeCell ref="C47:C48"/>
    <mergeCell ref="D47:D48"/>
    <mergeCell ref="E47:E48"/>
    <mergeCell ref="F47:F48"/>
  </mergeCells>
  <pageMargins left="0.78740157480314965" right="0.19685039370078741" top="0.39370078740157483" bottom="0.39370078740157483" header="0.19685039370078741" footer="0.19685039370078741"/>
  <pageSetup paperSize="9" scale="96" fitToHeight="37" orientation="landscape" r:id="rId1"/>
  <headerFooter differentFirst="1">
    <oddHeader>&amp;C&amp;"PT Astra Serif,обычный"&amp;8&amp;K000000&amp;P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J316"/>
  <sheetViews>
    <sheetView view="pageBreakPreview" zoomScaleNormal="100" zoomScaleSheetLayoutView="100" workbookViewId="0">
      <selection activeCell="B18" sqref="B18"/>
    </sheetView>
  </sheetViews>
  <sheetFormatPr defaultColWidth="8.85546875" defaultRowHeight="15.75" x14ac:dyDescent="0.25"/>
  <cols>
    <col min="1" max="1" width="60.5703125" style="176" customWidth="1"/>
    <col min="2" max="2" width="6.7109375" style="177" customWidth="1"/>
    <col min="3" max="3" width="6.5703125" style="177" customWidth="1"/>
    <col min="4" max="4" width="5.28515625" style="177" customWidth="1"/>
    <col min="5" max="5" width="4.28515625" style="177" customWidth="1"/>
    <col min="6" max="6" width="5.28515625" style="177" customWidth="1"/>
    <col min="7" max="7" width="6.85546875" style="177" customWidth="1"/>
    <col min="8" max="8" width="7.85546875" style="177" customWidth="1"/>
    <col min="9" max="10" width="16.7109375" style="179" customWidth="1"/>
    <col min="11" max="16384" width="8.85546875" style="147"/>
  </cols>
  <sheetData>
    <row r="1" spans="1:10" x14ac:dyDescent="0.25">
      <c r="C1" s="246" t="s">
        <v>416</v>
      </c>
      <c r="D1" s="246"/>
      <c r="E1" s="246"/>
      <c r="F1" s="246"/>
      <c r="G1" s="246"/>
      <c r="H1" s="246"/>
      <c r="I1" s="246"/>
      <c r="J1" s="246"/>
    </row>
    <row r="2" spans="1:10" x14ac:dyDescent="0.25">
      <c r="C2" s="246" t="s">
        <v>38</v>
      </c>
      <c r="D2" s="246"/>
      <c r="E2" s="246"/>
      <c r="F2" s="246"/>
      <c r="G2" s="246"/>
      <c r="H2" s="246"/>
      <c r="I2" s="246"/>
      <c r="J2" s="246"/>
    </row>
    <row r="3" spans="1:10" x14ac:dyDescent="0.25">
      <c r="C3" s="246" t="s">
        <v>436</v>
      </c>
      <c r="D3" s="246"/>
      <c r="E3" s="246"/>
      <c r="F3" s="246"/>
      <c r="G3" s="246"/>
      <c r="H3" s="246"/>
      <c r="I3" s="246"/>
      <c r="J3" s="246"/>
    </row>
    <row r="4" spans="1:10" x14ac:dyDescent="0.25">
      <c r="C4" s="246" t="s">
        <v>440</v>
      </c>
      <c r="D4" s="246"/>
      <c r="E4" s="246"/>
      <c r="F4" s="246"/>
      <c r="G4" s="246"/>
      <c r="H4" s="246"/>
      <c r="I4" s="246"/>
      <c r="J4" s="246"/>
    </row>
    <row r="5" spans="1:10" x14ac:dyDescent="0.25">
      <c r="C5" s="246" t="s">
        <v>437</v>
      </c>
      <c r="D5" s="246"/>
      <c r="E5" s="246"/>
      <c r="F5" s="246"/>
      <c r="G5" s="246"/>
      <c r="H5" s="246"/>
      <c r="I5" s="246"/>
      <c r="J5" s="246"/>
    </row>
    <row r="6" spans="1:10" x14ac:dyDescent="0.25">
      <c r="C6" s="246" t="s">
        <v>441</v>
      </c>
      <c r="D6" s="246"/>
      <c r="E6" s="246"/>
      <c r="F6" s="246"/>
      <c r="G6" s="246"/>
      <c r="H6" s="246"/>
      <c r="I6" s="246"/>
      <c r="J6" s="246"/>
    </row>
    <row r="7" spans="1:10" x14ac:dyDescent="0.25">
      <c r="C7" s="246" t="s">
        <v>504</v>
      </c>
      <c r="D7" s="246"/>
      <c r="E7" s="246"/>
      <c r="F7" s="246"/>
      <c r="G7" s="246"/>
      <c r="H7" s="246"/>
      <c r="I7" s="246"/>
      <c r="J7" s="246"/>
    </row>
    <row r="9" spans="1:10" x14ac:dyDescent="0.25">
      <c r="A9" s="145"/>
      <c r="B9" s="146"/>
      <c r="C9" s="146"/>
      <c r="D9" s="146"/>
      <c r="E9" s="255" t="s">
        <v>482</v>
      </c>
      <c r="F9" s="255"/>
      <c r="G9" s="255"/>
      <c r="H9" s="255"/>
      <c r="I9" s="255"/>
      <c r="J9" s="255"/>
    </row>
    <row r="10" spans="1:10" x14ac:dyDescent="0.25">
      <c r="A10" s="145"/>
      <c r="B10" s="146"/>
      <c r="C10" s="146"/>
      <c r="D10" s="146"/>
      <c r="E10" s="255" t="s">
        <v>38</v>
      </c>
      <c r="F10" s="255"/>
      <c r="G10" s="255"/>
      <c r="H10" s="255"/>
      <c r="I10" s="255"/>
      <c r="J10" s="255"/>
    </row>
    <row r="11" spans="1:10" x14ac:dyDescent="0.25">
      <c r="A11" s="145"/>
      <c r="B11" s="146"/>
      <c r="C11" s="146"/>
      <c r="D11" s="146"/>
      <c r="E11" s="255" t="s">
        <v>40</v>
      </c>
      <c r="F11" s="255"/>
      <c r="G11" s="255"/>
      <c r="H11" s="255"/>
      <c r="I11" s="255"/>
      <c r="J11" s="255"/>
    </row>
    <row r="12" spans="1:10" x14ac:dyDescent="0.25">
      <c r="A12" s="145"/>
      <c r="B12" s="146"/>
      <c r="C12" s="146"/>
      <c r="D12" s="146"/>
      <c r="E12" s="255" t="s">
        <v>41</v>
      </c>
      <c r="F12" s="255"/>
      <c r="G12" s="255"/>
      <c r="H12" s="255"/>
      <c r="I12" s="255"/>
      <c r="J12" s="255"/>
    </row>
    <row r="13" spans="1:10" x14ac:dyDescent="0.25">
      <c r="A13" s="145"/>
      <c r="B13" s="146"/>
      <c r="C13" s="146"/>
      <c r="D13" s="146"/>
      <c r="E13" s="255" t="s">
        <v>419</v>
      </c>
      <c r="F13" s="255"/>
      <c r="G13" s="255"/>
      <c r="H13" s="255"/>
      <c r="I13" s="255"/>
      <c r="J13" s="255"/>
    </row>
    <row r="14" spans="1:10" x14ac:dyDescent="0.25">
      <c r="A14" s="145"/>
      <c r="B14" s="146"/>
      <c r="C14" s="146"/>
      <c r="D14" s="146"/>
      <c r="E14" s="254" t="s">
        <v>435</v>
      </c>
      <c r="F14" s="254"/>
      <c r="G14" s="254"/>
      <c r="H14" s="254"/>
      <c r="I14" s="254"/>
      <c r="J14" s="254"/>
    </row>
    <row r="15" spans="1:10" x14ac:dyDescent="0.25">
      <c r="A15" s="145"/>
      <c r="B15" s="146"/>
      <c r="C15" s="146"/>
      <c r="D15" s="146"/>
      <c r="E15" s="146"/>
      <c r="F15" s="146"/>
      <c r="G15" s="146"/>
      <c r="H15" s="146"/>
      <c r="I15" s="148"/>
      <c r="J15" s="148"/>
    </row>
    <row r="16" spans="1:10" x14ac:dyDescent="0.25">
      <c r="A16" s="145"/>
      <c r="B16" s="146"/>
      <c r="C16" s="146"/>
      <c r="D16" s="146"/>
      <c r="E16" s="146"/>
      <c r="F16" s="146"/>
      <c r="G16" s="146"/>
      <c r="H16" s="146"/>
      <c r="I16" s="148"/>
      <c r="J16" s="148"/>
    </row>
    <row r="17" spans="1:10" ht="96.75" customHeight="1" x14ac:dyDescent="0.25">
      <c r="A17" s="247" t="s">
        <v>483</v>
      </c>
      <c r="B17" s="247"/>
      <c r="C17" s="247"/>
      <c r="D17" s="247"/>
      <c r="E17" s="247"/>
      <c r="F17" s="247"/>
      <c r="G17" s="247"/>
      <c r="H17" s="247"/>
      <c r="I17" s="247"/>
      <c r="J17" s="247"/>
    </row>
    <row r="18" spans="1:10" x14ac:dyDescent="0.25">
      <c r="A18" s="149"/>
      <c r="B18" s="150"/>
      <c r="C18" s="150"/>
      <c r="D18" s="150"/>
      <c r="E18" s="150"/>
      <c r="F18" s="150"/>
      <c r="G18" s="150"/>
      <c r="H18" s="150"/>
      <c r="I18" s="151"/>
      <c r="J18" s="151"/>
    </row>
    <row r="19" spans="1:10" x14ac:dyDescent="0.25">
      <c r="A19" s="248" t="s">
        <v>37</v>
      </c>
      <c r="B19" s="248"/>
      <c r="C19" s="248"/>
      <c r="D19" s="248"/>
      <c r="E19" s="248"/>
      <c r="F19" s="248"/>
      <c r="G19" s="248"/>
      <c r="H19" s="248"/>
      <c r="I19" s="248"/>
      <c r="J19" s="248"/>
    </row>
    <row r="20" spans="1:10" x14ac:dyDescent="0.25">
      <c r="A20" s="249" t="s">
        <v>59</v>
      </c>
      <c r="B20" s="251" t="s">
        <v>1</v>
      </c>
      <c r="C20" s="252"/>
      <c r="D20" s="252"/>
      <c r="E20" s="252"/>
      <c r="F20" s="252"/>
      <c r="G20" s="252"/>
      <c r="H20" s="253"/>
      <c r="I20" s="249" t="s">
        <v>397</v>
      </c>
      <c r="J20" s="249" t="s">
        <v>420</v>
      </c>
    </row>
    <row r="21" spans="1:10" ht="126" x14ac:dyDescent="0.25">
      <c r="A21" s="250"/>
      <c r="B21" s="152" t="s">
        <v>60</v>
      </c>
      <c r="C21" s="152" t="s">
        <v>61</v>
      </c>
      <c r="D21" s="251" t="s">
        <v>62</v>
      </c>
      <c r="E21" s="252"/>
      <c r="F21" s="252"/>
      <c r="G21" s="252"/>
      <c r="H21" s="152" t="s">
        <v>63</v>
      </c>
      <c r="I21" s="250"/>
      <c r="J21" s="250"/>
    </row>
    <row r="22" spans="1:10" x14ac:dyDescent="0.25">
      <c r="A22" s="153" t="s">
        <v>64</v>
      </c>
      <c r="B22" s="34">
        <v>1</v>
      </c>
      <c r="C22" s="154"/>
      <c r="D22" s="155"/>
      <c r="E22" s="156"/>
      <c r="F22" s="157"/>
      <c r="G22" s="158"/>
      <c r="H22" s="156"/>
      <c r="I22" s="80">
        <f>I23+I31+I52+I57+I62</f>
        <v>26791441.169999998</v>
      </c>
      <c r="J22" s="80">
        <f>J23+J31+J52+J57+J62</f>
        <v>26117315.379999999</v>
      </c>
    </row>
    <row r="23" spans="1:10" ht="47.25" x14ac:dyDescent="0.25">
      <c r="A23" s="159" t="s">
        <v>71</v>
      </c>
      <c r="B23" s="160" t="s">
        <v>65</v>
      </c>
      <c r="C23" s="160" t="s">
        <v>72</v>
      </c>
      <c r="D23" s="160" t="s">
        <v>134</v>
      </c>
      <c r="E23" s="161"/>
      <c r="F23" s="160"/>
      <c r="G23" s="160"/>
      <c r="H23" s="161" t="s">
        <v>135</v>
      </c>
      <c r="I23" s="162">
        <f>I24</f>
        <v>1235930.67</v>
      </c>
      <c r="J23" s="162">
        <f>J24</f>
        <v>1263731.8600000001</v>
      </c>
    </row>
    <row r="24" spans="1:10" x14ac:dyDescent="0.25">
      <c r="A24" s="163" t="s">
        <v>136</v>
      </c>
      <c r="B24" s="160" t="s">
        <v>65</v>
      </c>
      <c r="C24" s="160" t="s">
        <v>72</v>
      </c>
      <c r="D24" s="160">
        <v>91</v>
      </c>
      <c r="E24" s="161">
        <v>0</v>
      </c>
      <c r="F24" s="160" t="s">
        <v>67</v>
      </c>
      <c r="G24" s="160" t="s">
        <v>69</v>
      </c>
      <c r="H24" s="161" t="s">
        <v>135</v>
      </c>
      <c r="I24" s="162">
        <f>I25</f>
        <v>1235930.67</v>
      </c>
      <c r="J24" s="162">
        <f>J25</f>
        <v>1263731.8600000001</v>
      </c>
    </row>
    <row r="25" spans="1:10" ht="31.5" x14ac:dyDescent="0.25">
      <c r="A25" s="163" t="s">
        <v>137</v>
      </c>
      <c r="B25" s="160" t="s">
        <v>65</v>
      </c>
      <c r="C25" s="160" t="s">
        <v>72</v>
      </c>
      <c r="D25" s="160">
        <v>91</v>
      </c>
      <c r="E25" s="161">
        <v>1</v>
      </c>
      <c r="F25" s="160" t="s">
        <v>68</v>
      </c>
      <c r="G25" s="160" t="s">
        <v>69</v>
      </c>
      <c r="H25" s="161"/>
      <c r="I25" s="162">
        <f>I26+I28</f>
        <v>1235930.67</v>
      </c>
      <c r="J25" s="162">
        <f>J26+J28</f>
        <v>1263731.8600000001</v>
      </c>
    </row>
    <row r="26" spans="1:10" ht="63" x14ac:dyDescent="0.25">
      <c r="A26" s="163" t="s">
        <v>138</v>
      </c>
      <c r="B26" s="160" t="s">
        <v>65</v>
      </c>
      <c r="C26" s="160" t="s">
        <v>72</v>
      </c>
      <c r="D26" s="160">
        <v>91</v>
      </c>
      <c r="E26" s="161">
        <v>1</v>
      </c>
      <c r="F26" s="160" t="s">
        <v>68</v>
      </c>
      <c r="G26" s="160" t="s">
        <v>139</v>
      </c>
      <c r="H26" s="161"/>
      <c r="I26" s="162">
        <f>I27</f>
        <v>1235930.67</v>
      </c>
      <c r="J26" s="162">
        <f>J27</f>
        <v>1263731.8600000001</v>
      </c>
    </row>
    <row r="27" spans="1:10" x14ac:dyDescent="0.25">
      <c r="A27" s="163" t="s">
        <v>140</v>
      </c>
      <c r="B27" s="160" t="s">
        <v>65</v>
      </c>
      <c r="C27" s="160" t="s">
        <v>72</v>
      </c>
      <c r="D27" s="160">
        <v>91</v>
      </c>
      <c r="E27" s="161">
        <v>1</v>
      </c>
      <c r="F27" s="160" t="s">
        <v>68</v>
      </c>
      <c r="G27" s="160" t="s">
        <v>139</v>
      </c>
      <c r="H27" s="161">
        <v>120</v>
      </c>
      <c r="I27" s="164">
        <f>'Прил 7'!J305</f>
        <v>1235930.67</v>
      </c>
      <c r="J27" s="164">
        <f>'Прил 7'!K305</f>
        <v>1263731.8600000001</v>
      </c>
    </row>
    <row r="28" spans="1:10" ht="63" hidden="1" x14ac:dyDescent="0.25">
      <c r="A28" s="163" t="s">
        <v>141</v>
      </c>
      <c r="B28" s="160" t="s">
        <v>65</v>
      </c>
      <c r="C28" s="160" t="s">
        <v>72</v>
      </c>
      <c r="D28" s="160">
        <v>91</v>
      </c>
      <c r="E28" s="161">
        <v>1</v>
      </c>
      <c r="F28" s="160" t="s">
        <v>68</v>
      </c>
      <c r="G28" s="160" t="s">
        <v>142</v>
      </c>
      <c r="H28" s="161"/>
      <c r="I28" s="164">
        <f>I29+I30</f>
        <v>0</v>
      </c>
      <c r="J28" s="164">
        <f>J29+J30</f>
        <v>0</v>
      </c>
    </row>
    <row r="29" spans="1:10" ht="31.5" hidden="1" x14ac:dyDescent="0.25">
      <c r="A29" s="36" t="s">
        <v>75</v>
      </c>
      <c r="B29" s="160" t="s">
        <v>65</v>
      </c>
      <c r="C29" s="160" t="s">
        <v>72</v>
      </c>
      <c r="D29" s="160">
        <v>91</v>
      </c>
      <c r="E29" s="161">
        <v>1</v>
      </c>
      <c r="F29" s="160" t="s">
        <v>68</v>
      </c>
      <c r="G29" s="160" t="s">
        <v>142</v>
      </c>
      <c r="H29" s="161">
        <v>240</v>
      </c>
      <c r="I29" s="164"/>
      <c r="J29" s="164"/>
    </row>
    <row r="30" spans="1:10" hidden="1" x14ac:dyDescent="0.25">
      <c r="A30" s="36" t="s">
        <v>77</v>
      </c>
      <c r="B30" s="160" t="s">
        <v>65</v>
      </c>
      <c r="C30" s="160" t="s">
        <v>72</v>
      </c>
      <c r="D30" s="160">
        <v>91</v>
      </c>
      <c r="E30" s="161">
        <v>1</v>
      </c>
      <c r="F30" s="160" t="s">
        <v>68</v>
      </c>
      <c r="G30" s="160" t="s">
        <v>142</v>
      </c>
      <c r="H30" s="161">
        <v>850</v>
      </c>
      <c r="I30" s="164"/>
      <c r="J30" s="164"/>
    </row>
    <row r="31" spans="1:10" ht="63" x14ac:dyDescent="0.25">
      <c r="A31" s="44" t="s">
        <v>82</v>
      </c>
      <c r="B31" s="160" t="s">
        <v>65</v>
      </c>
      <c r="C31" s="160" t="s">
        <v>83</v>
      </c>
      <c r="D31" s="160"/>
      <c r="E31" s="161"/>
      <c r="F31" s="160"/>
      <c r="G31" s="160"/>
      <c r="H31" s="161"/>
      <c r="I31" s="164">
        <f>I32+I42</f>
        <v>15293265.91</v>
      </c>
      <c r="J31" s="164">
        <f>J32+J42</f>
        <v>14933069.84</v>
      </c>
    </row>
    <row r="32" spans="1:10" x14ac:dyDescent="0.25">
      <c r="A32" s="163" t="s">
        <v>146</v>
      </c>
      <c r="B32" s="160" t="s">
        <v>65</v>
      </c>
      <c r="C32" s="161" t="s">
        <v>83</v>
      </c>
      <c r="D32" s="160">
        <v>92</v>
      </c>
      <c r="E32" s="161">
        <v>0</v>
      </c>
      <c r="F32" s="160" t="s">
        <v>68</v>
      </c>
      <c r="G32" s="160" t="s">
        <v>69</v>
      </c>
      <c r="H32" s="161"/>
      <c r="I32" s="164">
        <f>I33+I36</f>
        <v>14367765.91</v>
      </c>
      <c r="J32" s="164">
        <f>J33+J36</f>
        <v>14933069.84</v>
      </c>
    </row>
    <row r="33" spans="1:10" x14ac:dyDescent="0.25">
      <c r="A33" s="165" t="s">
        <v>147</v>
      </c>
      <c r="B33" s="160" t="s">
        <v>65</v>
      </c>
      <c r="C33" s="161" t="s">
        <v>83</v>
      </c>
      <c r="D33" s="160">
        <v>92</v>
      </c>
      <c r="E33" s="161">
        <v>1</v>
      </c>
      <c r="F33" s="160" t="s">
        <v>68</v>
      </c>
      <c r="G33" s="160" t="s">
        <v>69</v>
      </c>
      <c r="H33" s="161"/>
      <c r="I33" s="164">
        <f>I34</f>
        <v>1454389.57</v>
      </c>
      <c r="J33" s="164">
        <f>J34</f>
        <v>1512590.84</v>
      </c>
    </row>
    <row r="34" spans="1:10" ht="78.75" x14ac:dyDescent="0.25">
      <c r="A34" s="165" t="s">
        <v>148</v>
      </c>
      <c r="B34" s="160" t="s">
        <v>65</v>
      </c>
      <c r="C34" s="161" t="s">
        <v>83</v>
      </c>
      <c r="D34" s="160">
        <v>92</v>
      </c>
      <c r="E34" s="161">
        <v>1</v>
      </c>
      <c r="F34" s="160" t="s">
        <v>68</v>
      </c>
      <c r="G34" s="160" t="s">
        <v>139</v>
      </c>
      <c r="H34" s="161"/>
      <c r="I34" s="164">
        <f>I35</f>
        <v>1454389.57</v>
      </c>
      <c r="J34" s="164">
        <f>J35</f>
        <v>1512590.84</v>
      </c>
    </row>
    <row r="35" spans="1:10" x14ac:dyDescent="0.25">
      <c r="A35" s="163" t="s">
        <v>140</v>
      </c>
      <c r="B35" s="160" t="s">
        <v>65</v>
      </c>
      <c r="C35" s="161" t="s">
        <v>83</v>
      </c>
      <c r="D35" s="160">
        <v>92</v>
      </c>
      <c r="E35" s="161">
        <v>1</v>
      </c>
      <c r="F35" s="160" t="s">
        <v>68</v>
      </c>
      <c r="G35" s="160" t="s">
        <v>139</v>
      </c>
      <c r="H35" s="161">
        <v>120</v>
      </c>
      <c r="I35" s="164">
        <f>'Прил 7'!J26</f>
        <v>1454389.57</v>
      </c>
      <c r="J35" s="164">
        <f>'Прил 7'!K26</f>
        <v>1512590.84</v>
      </c>
    </row>
    <row r="36" spans="1:10" x14ac:dyDescent="0.25">
      <c r="A36" s="36" t="s">
        <v>149</v>
      </c>
      <c r="B36" s="160" t="s">
        <v>65</v>
      </c>
      <c r="C36" s="161" t="s">
        <v>83</v>
      </c>
      <c r="D36" s="160">
        <v>92</v>
      </c>
      <c r="E36" s="161">
        <v>2</v>
      </c>
      <c r="F36" s="160" t="s">
        <v>68</v>
      </c>
      <c r="G36" s="160" t="s">
        <v>69</v>
      </c>
      <c r="H36" s="161"/>
      <c r="I36" s="164">
        <f>I37+I39</f>
        <v>12913376.34</v>
      </c>
      <c r="J36" s="164">
        <f>J37+J39</f>
        <v>13420479</v>
      </c>
    </row>
    <row r="37" spans="1:10" ht="78.75" x14ac:dyDescent="0.25">
      <c r="A37" s="36" t="s">
        <v>148</v>
      </c>
      <c r="B37" s="160" t="s">
        <v>65</v>
      </c>
      <c r="C37" s="161" t="s">
        <v>83</v>
      </c>
      <c r="D37" s="160">
        <v>92</v>
      </c>
      <c r="E37" s="161">
        <v>2</v>
      </c>
      <c r="F37" s="160" t="s">
        <v>68</v>
      </c>
      <c r="G37" s="160" t="s">
        <v>139</v>
      </c>
      <c r="H37" s="161"/>
      <c r="I37" s="164">
        <f>I38</f>
        <v>11535836.34</v>
      </c>
      <c r="J37" s="164">
        <f>J38</f>
        <v>11997237.439999999</v>
      </c>
    </row>
    <row r="38" spans="1:10" x14ac:dyDescent="0.25">
      <c r="A38" s="163" t="s">
        <v>140</v>
      </c>
      <c r="B38" s="160" t="s">
        <v>65</v>
      </c>
      <c r="C38" s="161" t="s">
        <v>83</v>
      </c>
      <c r="D38" s="160">
        <v>92</v>
      </c>
      <c r="E38" s="161">
        <v>2</v>
      </c>
      <c r="F38" s="160" t="s">
        <v>68</v>
      </c>
      <c r="G38" s="160" t="s">
        <v>139</v>
      </c>
      <c r="H38" s="161">
        <v>120</v>
      </c>
      <c r="I38" s="164">
        <f>'Прил 7'!J29</f>
        <v>11535836.34</v>
      </c>
      <c r="J38" s="164">
        <f>'Прил 7'!K29</f>
        <v>11997237.439999999</v>
      </c>
    </row>
    <row r="39" spans="1:10" ht="63" x14ac:dyDescent="0.25">
      <c r="A39" s="36" t="s">
        <v>150</v>
      </c>
      <c r="B39" s="160" t="s">
        <v>65</v>
      </c>
      <c r="C39" s="161" t="s">
        <v>83</v>
      </c>
      <c r="D39" s="160">
        <v>92</v>
      </c>
      <c r="E39" s="161">
        <v>2</v>
      </c>
      <c r="F39" s="160" t="s">
        <v>68</v>
      </c>
      <c r="G39" s="160" t="s">
        <v>142</v>
      </c>
      <c r="H39" s="161"/>
      <c r="I39" s="164">
        <f>SUM(I40:I41)</f>
        <v>1377540</v>
      </c>
      <c r="J39" s="164">
        <f>SUM(J40:J41)</f>
        <v>1423241.56</v>
      </c>
    </row>
    <row r="40" spans="1:10" ht="31.5" x14ac:dyDescent="0.25">
      <c r="A40" s="36" t="s">
        <v>75</v>
      </c>
      <c r="B40" s="160" t="s">
        <v>65</v>
      </c>
      <c r="C40" s="161" t="s">
        <v>83</v>
      </c>
      <c r="D40" s="160">
        <v>92</v>
      </c>
      <c r="E40" s="161">
        <v>2</v>
      </c>
      <c r="F40" s="160" t="s">
        <v>68</v>
      </c>
      <c r="G40" s="160" t="s">
        <v>142</v>
      </c>
      <c r="H40" s="161">
        <v>240</v>
      </c>
      <c r="I40" s="164">
        <f>'Прил 7'!J31</f>
        <v>1363540</v>
      </c>
      <c r="J40" s="164">
        <f>'Прил 7'!K31</f>
        <v>1409241.56</v>
      </c>
    </row>
    <row r="41" spans="1:10" x14ac:dyDescent="0.25">
      <c r="A41" s="36" t="s">
        <v>77</v>
      </c>
      <c r="B41" s="160" t="s">
        <v>65</v>
      </c>
      <c r="C41" s="161" t="s">
        <v>83</v>
      </c>
      <c r="D41" s="160">
        <v>92</v>
      </c>
      <c r="E41" s="161">
        <v>2</v>
      </c>
      <c r="F41" s="160" t="s">
        <v>68</v>
      </c>
      <c r="G41" s="160" t="s">
        <v>142</v>
      </c>
      <c r="H41" s="161">
        <v>850</v>
      </c>
      <c r="I41" s="164">
        <f>'Прил 7'!J32</f>
        <v>14000</v>
      </c>
      <c r="J41" s="164">
        <f>'Прил 7'!K32</f>
        <v>14000</v>
      </c>
    </row>
    <row r="42" spans="1:10" x14ac:dyDescent="0.25">
      <c r="A42" s="36" t="s">
        <v>151</v>
      </c>
      <c r="B42" s="160" t="s">
        <v>65</v>
      </c>
      <c r="C42" s="161" t="s">
        <v>83</v>
      </c>
      <c r="D42" s="160">
        <v>97</v>
      </c>
      <c r="E42" s="161">
        <v>0</v>
      </c>
      <c r="F42" s="160" t="s">
        <v>68</v>
      </c>
      <c r="G42" s="160" t="s">
        <v>69</v>
      </c>
      <c r="H42" s="161"/>
      <c r="I42" s="164">
        <f>I43</f>
        <v>925500</v>
      </c>
      <c r="J42" s="164">
        <f>J43</f>
        <v>0</v>
      </c>
    </row>
    <row r="43" spans="1:10" ht="63" x14ac:dyDescent="0.25">
      <c r="A43" s="36" t="s">
        <v>152</v>
      </c>
      <c r="B43" s="160" t="s">
        <v>65</v>
      </c>
      <c r="C43" s="161" t="s">
        <v>83</v>
      </c>
      <c r="D43" s="160">
        <v>97</v>
      </c>
      <c r="E43" s="161">
        <v>2</v>
      </c>
      <c r="F43" s="160" t="s">
        <v>68</v>
      </c>
      <c r="G43" s="160" t="s">
        <v>69</v>
      </c>
      <c r="H43" s="161"/>
      <c r="I43" s="164">
        <f>I44+I46+I48+I50</f>
        <v>925500</v>
      </c>
      <c r="J43" s="164">
        <f>J44+J46+J48+J50</f>
        <v>0</v>
      </c>
    </row>
    <row r="44" spans="1:10" ht="409.5" x14ac:dyDescent="0.25">
      <c r="A44" s="36" t="s">
        <v>484</v>
      </c>
      <c r="B44" s="160" t="s">
        <v>65</v>
      </c>
      <c r="C44" s="160" t="s">
        <v>83</v>
      </c>
      <c r="D44" s="160" t="s">
        <v>154</v>
      </c>
      <c r="E44" s="161">
        <v>2</v>
      </c>
      <c r="F44" s="160" t="s">
        <v>68</v>
      </c>
      <c r="G44" s="160" t="s">
        <v>155</v>
      </c>
      <c r="H44" s="161"/>
      <c r="I44" s="164">
        <f>I45</f>
        <v>447500</v>
      </c>
      <c r="J44" s="164">
        <f>J45</f>
        <v>0</v>
      </c>
    </row>
    <row r="45" spans="1:10" x14ac:dyDescent="0.25">
      <c r="A45" s="166" t="s">
        <v>157</v>
      </c>
      <c r="B45" s="160" t="s">
        <v>65</v>
      </c>
      <c r="C45" s="160" t="s">
        <v>83</v>
      </c>
      <c r="D45" s="160" t="s">
        <v>154</v>
      </c>
      <c r="E45" s="161">
        <v>2</v>
      </c>
      <c r="F45" s="160" t="s">
        <v>68</v>
      </c>
      <c r="G45" s="160" t="s">
        <v>155</v>
      </c>
      <c r="H45" s="161">
        <v>500</v>
      </c>
      <c r="I45" s="164">
        <f>'Прил 7'!J36</f>
        <v>447500</v>
      </c>
      <c r="J45" s="164">
        <f>'Прил 7'!K36</f>
        <v>0</v>
      </c>
    </row>
    <row r="46" spans="1:10" ht="47.25" x14ac:dyDescent="0.25">
      <c r="A46" s="36" t="s">
        <v>158</v>
      </c>
      <c r="B46" s="160" t="s">
        <v>65</v>
      </c>
      <c r="C46" s="161" t="s">
        <v>83</v>
      </c>
      <c r="D46" s="160">
        <v>97</v>
      </c>
      <c r="E46" s="161">
        <v>2</v>
      </c>
      <c r="F46" s="160" t="s">
        <v>68</v>
      </c>
      <c r="G46" s="160" t="s">
        <v>159</v>
      </c>
      <c r="H46" s="161"/>
      <c r="I46" s="164">
        <f>I47</f>
        <v>141200</v>
      </c>
      <c r="J46" s="164">
        <f>J47</f>
        <v>0</v>
      </c>
    </row>
    <row r="47" spans="1:10" x14ac:dyDescent="0.25">
      <c r="A47" s="166" t="s">
        <v>157</v>
      </c>
      <c r="B47" s="160" t="s">
        <v>65</v>
      </c>
      <c r="C47" s="161" t="s">
        <v>83</v>
      </c>
      <c r="D47" s="160">
        <v>97</v>
      </c>
      <c r="E47" s="161">
        <v>2</v>
      </c>
      <c r="F47" s="160" t="s">
        <v>68</v>
      </c>
      <c r="G47" s="160" t="s">
        <v>159</v>
      </c>
      <c r="H47" s="161">
        <v>500</v>
      </c>
      <c r="I47" s="164">
        <f>'Прил 7'!J38</f>
        <v>141200</v>
      </c>
      <c r="J47" s="164">
        <f>'Прил 7'!K38</f>
        <v>0</v>
      </c>
    </row>
    <row r="48" spans="1:10" ht="47.25" x14ac:dyDescent="0.25">
      <c r="A48" s="36" t="s">
        <v>160</v>
      </c>
      <c r="B48" s="160" t="s">
        <v>65</v>
      </c>
      <c r="C48" s="161" t="s">
        <v>83</v>
      </c>
      <c r="D48" s="160">
        <v>97</v>
      </c>
      <c r="E48" s="161">
        <v>2</v>
      </c>
      <c r="F48" s="160" t="s">
        <v>68</v>
      </c>
      <c r="G48" s="160" t="s">
        <v>161</v>
      </c>
      <c r="H48" s="161"/>
      <c r="I48" s="164">
        <f>I49</f>
        <v>122200</v>
      </c>
      <c r="J48" s="164">
        <f>J49</f>
        <v>0</v>
      </c>
    </row>
    <row r="49" spans="1:10" x14ac:dyDescent="0.25">
      <c r="A49" s="166" t="s">
        <v>157</v>
      </c>
      <c r="B49" s="160" t="s">
        <v>65</v>
      </c>
      <c r="C49" s="161" t="s">
        <v>83</v>
      </c>
      <c r="D49" s="160">
        <v>97</v>
      </c>
      <c r="E49" s="161">
        <v>2</v>
      </c>
      <c r="F49" s="160" t="s">
        <v>68</v>
      </c>
      <c r="G49" s="160" t="s">
        <v>161</v>
      </c>
      <c r="H49" s="161">
        <v>500</v>
      </c>
      <c r="I49" s="164">
        <f>'Прил 7'!J40</f>
        <v>122200</v>
      </c>
      <c r="J49" s="164">
        <f>'Прил 7'!K40</f>
        <v>0</v>
      </c>
    </row>
    <row r="50" spans="1:10" ht="63" x14ac:dyDescent="0.25">
      <c r="A50" s="36" t="s">
        <v>162</v>
      </c>
      <c r="B50" s="160" t="s">
        <v>65</v>
      </c>
      <c r="C50" s="161" t="s">
        <v>83</v>
      </c>
      <c r="D50" s="160">
        <v>97</v>
      </c>
      <c r="E50" s="161">
        <v>2</v>
      </c>
      <c r="F50" s="160" t="s">
        <v>68</v>
      </c>
      <c r="G50" s="160" t="s">
        <v>163</v>
      </c>
      <c r="H50" s="161"/>
      <c r="I50" s="164">
        <f>I51</f>
        <v>214600</v>
      </c>
      <c r="J50" s="164">
        <f>J51</f>
        <v>0</v>
      </c>
    </row>
    <row r="51" spans="1:10" x14ac:dyDescent="0.25">
      <c r="A51" s="166" t="s">
        <v>157</v>
      </c>
      <c r="B51" s="160" t="s">
        <v>65</v>
      </c>
      <c r="C51" s="161" t="s">
        <v>83</v>
      </c>
      <c r="D51" s="160">
        <v>97</v>
      </c>
      <c r="E51" s="161">
        <v>2</v>
      </c>
      <c r="F51" s="160" t="s">
        <v>68</v>
      </c>
      <c r="G51" s="160" t="s">
        <v>163</v>
      </c>
      <c r="H51" s="161">
        <v>500</v>
      </c>
      <c r="I51" s="164">
        <f>'Прил 7'!J42</f>
        <v>214600</v>
      </c>
      <c r="J51" s="164">
        <f>'Прил 7'!K42</f>
        <v>0</v>
      </c>
    </row>
    <row r="52" spans="1:10" ht="47.25" x14ac:dyDescent="0.25">
      <c r="A52" s="36" t="s">
        <v>85</v>
      </c>
      <c r="B52" s="160" t="s">
        <v>65</v>
      </c>
      <c r="C52" s="160" t="s">
        <v>86</v>
      </c>
      <c r="D52" s="160"/>
      <c r="E52" s="160"/>
      <c r="F52" s="160"/>
      <c r="G52" s="160"/>
      <c r="H52" s="160"/>
      <c r="I52" s="164">
        <f t="shared" ref="I52:J55" si="0">I53</f>
        <v>580800</v>
      </c>
      <c r="J52" s="164">
        <f t="shared" si="0"/>
        <v>0</v>
      </c>
    </row>
    <row r="53" spans="1:10" x14ac:dyDescent="0.25">
      <c r="A53" s="36" t="s">
        <v>157</v>
      </c>
      <c r="B53" s="160" t="s">
        <v>65</v>
      </c>
      <c r="C53" s="160" t="s">
        <v>86</v>
      </c>
      <c r="D53" s="160" t="s">
        <v>154</v>
      </c>
      <c r="E53" s="160" t="s">
        <v>67</v>
      </c>
      <c r="F53" s="160" t="s">
        <v>68</v>
      </c>
      <c r="G53" s="160" t="s">
        <v>69</v>
      </c>
      <c r="H53" s="160"/>
      <c r="I53" s="164">
        <f>I54</f>
        <v>580800</v>
      </c>
      <c r="J53" s="164">
        <f>J54</f>
        <v>0</v>
      </c>
    </row>
    <row r="54" spans="1:10" ht="63" x14ac:dyDescent="0.25">
      <c r="A54" s="36" t="s">
        <v>152</v>
      </c>
      <c r="B54" s="160" t="s">
        <v>65</v>
      </c>
      <c r="C54" s="160" t="s">
        <v>86</v>
      </c>
      <c r="D54" s="160" t="s">
        <v>154</v>
      </c>
      <c r="E54" s="160" t="s">
        <v>73</v>
      </c>
      <c r="F54" s="160" t="s">
        <v>68</v>
      </c>
      <c r="G54" s="160" t="s">
        <v>69</v>
      </c>
      <c r="H54" s="160"/>
      <c r="I54" s="164">
        <f t="shared" si="0"/>
        <v>580800</v>
      </c>
      <c r="J54" s="164">
        <f t="shared" si="0"/>
        <v>0</v>
      </c>
    </row>
    <row r="55" spans="1:10" ht="47.25" x14ac:dyDescent="0.25">
      <c r="A55" s="36" t="s">
        <v>164</v>
      </c>
      <c r="B55" s="160" t="s">
        <v>65</v>
      </c>
      <c r="C55" s="160" t="s">
        <v>86</v>
      </c>
      <c r="D55" s="160">
        <v>97</v>
      </c>
      <c r="E55" s="161">
        <v>2</v>
      </c>
      <c r="F55" s="160" t="s">
        <v>68</v>
      </c>
      <c r="G55" s="160" t="s">
        <v>165</v>
      </c>
      <c r="H55" s="161"/>
      <c r="I55" s="164">
        <f t="shared" si="0"/>
        <v>580800</v>
      </c>
      <c r="J55" s="164">
        <f t="shared" si="0"/>
        <v>0</v>
      </c>
    </row>
    <row r="56" spans="1:10" x14ac:dyDescent="0.25">
      <c r="A56" s="166" t="s">
        <v>157</v>
      </c>
      <c r="B56" s="160" t="s">
        <v>65</v>
      </c>
      <c r="C56" s="160" t="s">
        <v>86</v>
      </c>
      <c r="D56" s="160">
        <v>97</v>
      </c>
      <c r="E56" s="161">
        <v>2</v>
      </c>
      <c r="F56" s="160" t="s">
        <v>68</v>
      </c>
      <c r="G56" s="160" t="s">
        <v>165</v>
      </c>
      <c r="H56" s="161">
        <v>500</v>
      </c>
      <c r="I56" s="164">
        <f>'Прил 7'!J47</f>
        <v>580800</v>
      </c>
      <c r="J56" s="164">
        <f>'Прил 7'!K47</f>
        <v>0</v>
      </c>
    </row>
    <row r="57" spans="1:10" x14ac:dyDescent="0.25">
      <c r="A57" s="163" t="s">
        <v>93</v>
      </c>
      <c r="B57" s="160" t="s">
        <v>65</v>
      </c>
      <c r="C57" s="161">
        <v>11</v>
      </c>
      <c r="D57" s="160"/>
      <c r="E57" s="161"/>
      <c r="F57" s="160"/>
      <c r="G57" s="160"/>
      <c r="H57" s="161" t="s">
        <v>135</v>
      </c>
      <c r="I57" s="162">
        <f t="shared" ref="I57:J60" si="1">I58</f>
        <v>4957000</v>
      </c>
      <c r="J57" s="162">
        <f t="shared" si="1"/>
        <v>5166000</v>
      </c>
    </row>
    <row r="58" spans="1:10" x14ac:dyDescent="0.25">
      <c r="A58" s="163" t="s">
        <v>93</v>
      </c>
      <c r="B58" s="160" t="s">
        <v>65</v>
      </c>
      <c r="C58" s="161">
        <v>11</v>
      </c>
      <c r="D58" s="160">
        <v>94</v>
      </c>
      <c r="E58" s="161">
        <v>0</v>
      </c>
      <c r="F58" s="160" t="s">
        <v>68</v>
      </c>
      <c r="G58" s="160" t="s">
        <v>69</v>
      </c>
      <c r="H58" s="161"/>
      <c r="I58" s="162">
        <f t="shared" si="1"/>
        <v>4957000</v>
      </c>
      <c r="J58" s="162">
        <f t="shared" si="1"/>
        <v>5166000</v>
      </c>
    </row>
    <row r="59" spans="1:10" x14ac:dyDescent="0.25">
      <c r="A59" s="163" t="s">
        <v>169</v>
      </c>
      <c r="B59" s="160" t="s">
        <v>65</v>
      </c>
      <c r="C59" s="161">
        <v>11</v>
      </c>
      <c r="D59" s="160">
        <v>94</v>
      </c>
      <c r="E59" s="161">
        <v>1</v>
      </c>
      <c r="F59" s="160" t="s">
        <v>68</v>
      </c>
      <c r="G59" s="160" t="s">
        <v>69</v>
      </c>
      <c r="H59" s="161" t="s">
        <v>135</v>
      </c>
      <c r="I59" s="162">
        <f t="shared" si="1"/>
        <v>4957000</v>
      </c>
      <c r="J59" s="162">
        <f t="shared" si="1"/>
        <v>5166000</v>
      </c>
    </row>
    <row r="60" spans="1:10" x14ac:dyDescent="0.25">
      <c r="A60" s="163" t="s">
        <v>169</v>
      </c>
      <c r="B60" s="160" t="s">
        <v>65</v>
      </c>
      <c r="C60" s="161">
        <v>11</v>
      </c>
      <c r="D60" s="160">
        <v>94</v>
      </c>
      <c r="E60" s="161">
        <v>1</v>
      </c>
      <c r="F60" s="160" t="s">
        <v>68</v>
      </c>
      <c r="G60" s="160" t="s">
        <v>170</v>
      </c>
      <c r="H60" s="161"/>
      <c r="I60" s="162">
        <f t="shared" si="1"/>
        <v>4957000</v>
      </c>
      <c r="J60" s="162">
        <f t="shared" si="1"/>
        <v>5166000</v>
      </c>
    </row>
    <row r="61" spans="1:10" x14ac:dyDescent="0.25">
      <c r="A61" s="163" t="s">
        <v>95</v>
      </c>
      <c r="B61" s="160" t="s">
        <v>65</v>
      </c>
      <c r="C61" s="161">
        <v>11</v>
      </c>
      <c r="D61" s="160">
        <v>94</v>
      </c>
      <c r="E61" s="161">
        <v>1</v>
      </c>
      <c r="F61" s="160" t="s">
        <v>68</v>
      </c>
      <c r="G61" s="160" t="s">
        <v>170</v>
      </c>
      <c r="H61" s="160" t="s">
        <v>96</v>
      </c>
      <c r="I61" s="162">
        <f>'Прил 7'!J52</f>
        <v>4957000</v>
      </c>
      <c r="J61" s="162">
        <f>'Прил 7'!K52</f>
        <v>5166000</v>
      </c>
    </row>
    <row r="62" spans="1:10" x14ac:dyDescent="0.25">
      <c r="A62" s="163" t="s">
        <v>98</v>
      </c>
      <c r="B62" s="160" t="s">
        <v>65</v>
      </c>
      <c r="C62" s="161">
        <v>13</v>
      </c>
      <c r="D62" s="160"/>
      <c r="E62" s="161"/>
      <c r="F62" s="160"/>
      <c r="G62" s="160"/>
      <c r="H62" s="161"/>
      <c r="I62" s="164">
        <f>I63+I74+I97+I91+I101+I108+I112+I116</f>
        <v>4724444.5900000008</v>
      </c>
      <c r="J62" s="164">
        <f>J63+J74+J97+J91+J101+J108+J112+J116</f>
        <v>4754513.6800000006</v>
      </c>
    </row>
    <row r="63" spans="1:10" ht="47.25" x14ac:dyDescent="0.25">
      <c r="A63" s="163" t="s">
        <v>171</v>
      </c>
      <c r="B63" s="160" t="s">
        <v>65</v>
      </c>
      <c r="C63" s="161">
        <v>13</v>
      </c>
      <c r="D63" s="160" t="s">
        <v>65</v>
      </c>
      <c r="E63" s="161">
        <v>0</v>
      </c>
      <c r="F63" s="160" t="s">
        <v>68</v>
      </c>
      <c r="G63" s="160" t="s">
        <v>69</v>
      </c>
      <c r="H63" s="161"/>
      <c r="I63" s="164">
        <f>I64+I71</f>
        <v>2269684.31</v>
      </c>
      <c r="J63" s="164">
        <f>J64+J71</f>
        <v>2293137.2200000002</v>
      </c>
    </row>
    <row r="64" spans="1:10" x14ac:dyDescent="0.25">
      <c r="A64" s="163" t="s">
        <v>172</v>
      </c>
      <c r="B64" s="160" t="s">
        <v>65</v>
      </c>
      <c r="C64" s="161">
        <v>13</v>
      </c>
      <c r="D64" s="160" t="s">
        <v>65</v>
      </c>
      <c r="E64" s="161">
        <v>1</v>
      </c>
      <c r="F64" s="160" t="s">
        <v>68</v>
      </c>
      <c r="G64" s="160" t="s">
        <v>69</v>
      </c>
      <c r="H64" s="161"/>
      <c r="I64" s="164">
        <f>I65+I67+I69</f>
        <v>2049684.31</v>
      </c>
      <c r="J64" s="164">
        <f>J65+J67+J69</f>
        <v>2073137.2200000002</v>
      </c>
    </row>
    <row r="65" spans="1:10" x14ac:dyDescent="0.25">
      <c r="A65" s="36" t="s">
        <v>173</v>
      </c>
      <c r="B65" s="160" t="s">
        <v>65</v>
      </c>
      <c r="C65" s="161">
        <v>13</v>
      </c>
      <c r="D65" s="160" t="s">
        <v>65</v>
      </c>
      <c r="E65" s="161">
        <v>1</v>
      </c>
      <c r="F65" s="160" t="s">
        <v>68</v>
      </c>
      <c r="G65" s="160" t="s">
        <v>174</v>
      </c>
      <c r="H65" s="161"/>
      <c r="I65" s="164">
        <f>I66</f>
        <v>1610553.57</v>
      </c>
      <c r="J65" s="164">
        <f>J66</f>
        <v>1629223.86</v>
      </c>
    </row>
    <row r="66" spans="1:10" ht="31.5" x14ac:dyDescent="0.25">
      <c r="A66" s="36" t="s">
        <v>75</v>
      </c>
      <c r="B66" s="160" t="s">
        <v>65</v>
      </c>
      <c r="C66" s="161">
        <v>13</v>
      </c>
      <c r="D66" s="160" t="s">
        <v>65</v>
      </c>
      <c r="E66" s="161">
        <v>1</v>
      </c>
      <c r="F66" s="160" t="s">
        <v>68</v>
      </c>
      <c r="G66" s="160" t="s">
        <v>174</v>
      </c>
      <c r="H66" s="161">
        <v>240</v>
      </c>
      <c r="I66" s="164">
        <f>'Прил 7'!J57</f>
        <v>1610553.57</v>
      </c>
      <c r="J66" s="164">
        <f>'Прил 7'!K57</f>
        <v>1629223.86</v>
      </c>
    </row>
    <row r="67" spans="1:10" ht="31.5" x14ac:dyDescent="0.25">
      <c r="A67" s="36" t="s">
        <v>175</v>
      </c>
      <c r="B67" s="160" t="s">
        <v>65</v>
      </c>
      <c r="C67" s="161">
        <v>13</v>
      </c>
      <c r="D67" s="160" t="s">
        <v>65</v>
      </c>
      <c r="E67" s="161">
        <v>1</v>
      </c>
      <c r="F67" s="160" t="s">
        <v>68</v>
      </c>
      <c r="G67" s="160" t="s">
        <v>176</v>
      </c>
      <c r="H67" s="161"/>
      <c r="I67" s="164">
        <f>I68</f>
        <v>200000</v>
      </c>
      <c r="J67" s="164">
        <f>J68</f>
        <v>200000</v>
      </c>
    </row>
    <row r="68" spans="1:10" ht="31.5" x14ac:dyDescent="0.25">
      <c r="A68" s="36" t="s">
        <v>75</v>
      </c>
      <c r="B68" s="160" t="s">
        <v>65</v>
      </c>
      <c r="C68" s="161">
        <v>13</v>
      </c>
      <c r="D68" s="160" t="s">
        <v>65</v>
      </c>
      <c r="E68" s="161">
        <v>1</v>
      </c>
      <c r="F68" s="160" t="s">
        <v>68</v>
      </c>
      <c r="G68" s="160" t="s">
        <v>176</v>
      </c>
      <c r="H68" s="161">
        <v>240</v>
      </c>
      <c r="I68" s="164">
        <f>'Прил 7'!J59</f>
        <v>200000</v>
      </c>
      <c r="J68" s="164">
        <f>'Прил 7'!K59</f>
        <v>200000</v>
      </c>
    </row>
    <row r="69" spans="1:10" x14ac:dyDescent="0.25">
      <c r="A69" s="36" t="s">
        <v>177</v>
      </c>
      <c r="B69" s="160" t="s">
        <v>65</v>
      </c>
      <c r="C69" s="161">
        <v>13</v>
      </c>
      <c r="D69" s="160" t="s">
        <v>65</v>
      </c>
      <c r="E69" s="161">
        <v>1</v>
      </c>
      <c r="F69" s="160" t="s">
        <v>68</v>
      </c>
      <c r="G69" s="160" t="s">
        <v>178</v>
      </c>
      <c r="H69" s="161"/>
      <c r="I69" s="164">
        <f>I70</f>
        <v>239130.74</v>
      </c>
      <c r="J69" s="164">
        <f>J70</f>
        <v>243913.36</v>
      </c>
    </row>
    <row r="70" spans="1:10" ht="31.5" x14ac:dyDescent="0.25">
      <c r="A70" s="36" t="s">
        <v>75</v>
      </c>
      <c r="B70" s="160" t="s">
        <v>65</v>
      </c>
      <c r="C70" s="161">
        <v>13</v>
      </c>
      <c r="D70" s="160" t="s">
        <v>65</v>
      </c>
      <c r="E70" s="161">
        <v>1</v>
      </c>
      <c r="F70" s="160" t="s">
        <v>68</v>
      </c>
      <c r="G70" s="160" t="s">
        <v>178</v>
      </c>
      <c r="H70" s="161">
        <v>240</v>
      </c>
      <c r="I70" s="164">
        <f>'Прил 7'!J61</f>
        <v>239130.74</v>
      </c>
      <c r="J70" s="164">
        <f>'Прил 7'!K61</f>
        <v>243913.36</v>
      </c>
    </row>
    <row r="71" spans="1:10" ht="31.5" x14ac:dyDescent="0.25">
      <c r="A71" s="36" t="s">
        <v>179</v>
      </c>
      <c r="B71" s="160" t="s">
        <v>65</v>
      </c>
      <c r="C71" s="161">
        <v>13</v>
      </c>
      <c r="D71" s="160" t="s">
        <v>65</v>
      </c>
      <c r="E71" s="161">
        <v>2</v>
      </c>
      <c r="F71" s="160" t="s">
        <v>68</v>
      </c>
      <c r="G71" s="160" t="s">
        <v>69</v>
      </c>
      <c r="H71" s="161"/>
      <c r="I71" s="164">
        <f>I72</f>
        <v>220000</v>
      </c>
      <c r="J71" s="164">
        <f>J72</f>
        <v>220000</v>
      </c>
    </row>
    <row r="72" spans="1:10" ht="31.5" x14ac:dyDescent="0.25">
      <c r="A72" s="36" t="s">
        <v>180</v>
      </c>
      <c r="B72" s="160" t="s">
        <v>65</v>
      </c>
      <c r="C72" s="161">
        <v>13</v>
      </c>
      <c r="D72" s="160" t="s">
        <v>65</v>
      </c>
      <c r="E72" s="161">
        <v>2</v>
      </c>
      <c r="F72" s="160" t="s">
        <v>68</v>
      </c>
      <c r="G72" s="160" t="s">
        <v>181</v>
      </c>
      <c r="H72" s="161"/>
      <c r="I72" s="164">
        <f>I73</f>
        <v>220000</v>
      </c>
      <c r="J72" s="164">
        <f>J73</f>
        <v>220000</v>
      </c>
    </row>
    <row r="73" spans="1:10" ht="31.5" x14ac:dyDescent="0.25">
      <c r="A73" s="36" t="s">
        <v>75</v>
      </c>
      <c r="B73" s="160" t="s">
        <v>65</v>
      </c>
      <c r="C73" s="161">
        <v>13</v>
      </c>
      <c r="D73" s="160" t="s">
        <v>65</v>
      </c>
      <c r="E73" s="161">
        <v>2</v>
      </c>
      <c r="F73" s="160" t="s">
        <v>68</v>
      </c>
      <c r="G73" s="160" t="s">
        <v>181</v>
      </c>
      <c r="H73" s="161">
        <v>240</v>
      </c>
      <c r="I73" s="164">
        <f>'Прил 7'!J64</f>
        <v>220000</v>
      </c>
      <c r="J73" s="164">
        <f>'Прил 7'!K64</f>
        <v>220000</v>
      </c>
    </row>
    <row r="74" spans="1:10" ht="47.25" x14ac:dyDescent="0.25">
      <c r="A74" s="163" t="s">
        <v>182</v>
      </c>
      <c r="B74" s="160" t="s">
        <v>65</v>
      </c>
      <c r="C74" s="161">
        <v>13</v>
      </c>
      <c r="D74" s="160" t="s">
        <v>88</v>
      </c>
      <c r="E74" s="161">
        <v>0</v>
      </c>
      <c r="F74" s="160" t="s">
        <v>68</v>
      </c>
      <c r="G74" s="160" t="s">
        <v>69</v>
      </c>
      <c r="H74" s="161"/>
      <c r="I74" s="164">
        <f>I75</f>
        <v>1143020</v>
      </c>
      <c r="J74" s="164">
        <f>J75</f>
        <v>1145410</v>
      </c>
    </row>
    <row r="75" spans="1:10" ht="47.25" x14ac:dyDescent="0.25">
      <c r="A75" s="163" t="s">
        <v>183</v>
      </c>
      <c r="B75" s="160" t="s">
        <v>65</v>
      </c>
      <c r="C75" s="161">
        <v>13</v>
      </c>
      <c r="D75" s="160" t="s">
        <v>88</v>
      </c>
      <c r="E75" s="161">
        <v>1</v>
      </c>
      <c r="F75" s="160" t="s">
        <v>68</v>
      </c>
      <c r="G75" s="160" t="s">
        <v>69</v>
      </c>
      <c r="H75" s="161"/>
      <c r="I75" s="164">
        <f>I76+I79+I82+I85+I88</f>
        <v>1143020</v>
      </c>
      <c r="J75" s="164">
        <f>J76+J79+J82+J85+J88</f>
        <v>1145410</v>
      </c>
    </row>
    <row r="76" spans="1:10" x14ac:dyDescent="0.25">
      <c r="A76" s="163" t="s">
        <v>184</v>
      </c>
      <c r="B76" s="160" t="s">
        <v>65</v>
      </c>
      <c r="C76" s="161">
        <v>13</v>
      </c>
      <c r="D76" s="160" t="s">
        <v>88</v>
      </c>
      <c r="E76" s="161">
        <v>1</v>
      </c>
      <c r="F76" s="160" t="s">
        <v>65</v>
      </c>
      <c r="G76" s="160" t="s">
        <v>69</v>
      </c>
      <c r="H76" s="161"/>
      <c r="I76" s="164">
        <f>I77</f>
        <v>100000</v>
      </c>
      <c r="J76" s="164">
        <f>J77</f>
        <v>100000</v>
      </c>
    </row>
    <row r="77" spans="1:10" ht="47.25" x14ac:dyDescent="0.25">
      <c r="A77" s="36" t="s">
        <v>185</v>
      </c>
      <c r="B77" s="160" t="s">
        <v>65</v>
      </c>
      <c r="C77" s="160" t="s">
        <v>99</v>
      </c>
      <c r="D77" s="160" t="s">
        <v>88</v>
      </c>
      <c r="E77" s="160" t="s">
        <v>70</v>
      </c>
      <c r="F77" s="160" t="s">
        <v>65</v>
      </c>
      <c r="G77" s="160" t="s">
        <v>186</v>
      </c>
      <c r="H77" s="160"/>
      <c r="I77" s="164">
        <f>I78</f>
        <v>100000</v>
      </c>
      <c r="J77" s="164">
        <f>J78</f>
        <v>100000</v>
      </c>
    </row>
    <row r="78" spans="1:10" ht="31.5" x14ac:dyDescent="0.25">
      <c r="A78" s="36" t="s">
        <v>75</v>
      </c>
      <c r="B78" s="160" t="s">
        <v>65</v>
      </c>
      <c r="C78" s="160" t="s">
        <v>99</v>
      </c>
      <c r="D78" s="160" t="s">
        <v>88</v>
      </c>
      <c r="E78" s="160" t="s">
        <v>70</v>
      </c>
      <c r="F78" s="160" t="s">
        <v>65</v>
      </c>
      <c r="G78" s="160" t="s">
        <v>186</v>
      </c>
      <c r="H78" s="160" t="s">
        <v>76</v>
      </c>
      <c r="I78" s="164">
        <f>'Прил 7'!J69</f>
        <v>100000</v>
      </c>
      <c r="J78" s="164">
        <f>'Прил 7'!K69</f>
        <v>100000</v>
      </c>
    </row>
    <row r="79" spans="1:10" ht="31.5" x14ac:dyDescent="0.25">
      <c r="A79" s="163" t="s">
        <v>187</v>
      </c>
      <c r="B79" s="160" t="s">
        <v>65</v>
      </c>
      <c r="C79" s="161">
        <v>13</v>
      </c>
      <c r="D79" s="160" t="s">
        <v>88</v>
      </c>
      <c r="E79" s="161">
        <v>1</v>
      </c>
      <c r="F79" s="160" t="s">
        <v>66</v>
      </c>
      <c r="G79" s="160" t="s">
        <v>69</v>
      </c>
      <c r="H79" s="161"/>
      <c r="I79" s="164">
        <f>I80</f>
        <v>40000</v>
      </c>
      <c r="J79" s="164">
        <f>J80</f>
        <v>40000</v>
      </c>
    </row>
    <row r="80" spans="1:10" ht="47.25" x14ac:dyDescent="0.25">
      <c r="A80" s="36" t="s">
        <v>185</v>
      </c>
      <c r="B80" s="160" t="s">
        <v>65</v>
      </c>
      <c r="C80" s="160" t="s">
        <v>99</v>
      </c>
      <c r="D80" s="160" t="s">
        <v>88</v>
      </c>
      <c r="E80" s="160" t="s">
        <v>70</v>
      </c>
      <c r="F80" s="160" t="s">
        <v>66</v>
      </c>
      <c r="G80" s="160" t="s">
        <v>186</v>
      </c>
      <c r="H80" s="160"/>
      <c r="I80" s="164">
        <f>I81</f>
        <v>40000</v>
      </c>
      <c r="J80" s="164">
        <f>J81</f>
        <v>40000</v>
      </c>
    </row>
    <row r="81" spans="1:10" ht="31.5" x14ac:dyDescent="0.25">
      <c r="A81" s="36" t="s">
        <v>75</v>
      </c>
      <c r="B81" s="160" t="s">
        <v>65</v>
      </c>
      <c r="C81" s="160" t="s">
        <v>99</v>
      </c>
      <c r="D81" s="160" t="s">
        <v>88</v>
      </c>
      <c r="E81" s="160" t="s">
        <v>70</v>
      </c>
      <c r="F81" s="160" t="s">
        <v>66</v>
      </c>
      <c r="G81" s="160" t="s">
        <v>186</v>
      </c>
      <c r="H81" s="160" t="s">
        <v>76</v>
      </c>
      <c r="I81" s="164">
        <f>'Прил 7'!J72</f>
        <v>40000</v>
      </c>
      <c r="J81" s="164">
        <f>'Прил 7'!K72</f>
        <v>40000</v>
      </c>
    </row>
    <row r="82" spans="1:10" x14ac:dyDescent="0.25">
      <c r="A82" s="163" t="s">
        <v>188</v>
      </c>
      <c r="B82" s="160" t="s">
        <v>65</v>
      </c>
      <c r="C82" s="161">
        <v>13</v>
      </c>
      <c r="D82" s="160" t="s">
        <v>88</v>
      </c>
      <c r="E82" s="161">
        <v>1</v>
      </c>
      <c r="F82" s="160" t="s">
        <v>72</v>
      </c>
      <c r="G82" s="160" t="s">
        <v>69</v>
      </c>
      <c r="H82" s="161"/>
      <c r="I82" s="164">
        <f>I83</f>
        <v>929326</v>
      </c>
      <c r="J82" s="164">
        <f>J83</f>
        <v>926907</v>
      </c>
    </row>
    <row r="83" spans="1:10" ht="47.25" x14ac:dyDescent="0.25">
      <c r="A83" s="36" t="s">
        <v>185</v>
      </c>
      <c r="B83" s="160" t="s">
        <v>65</v>
      </c>
      <c r="C83" s="160" t="s">
        <v>99</v>
      </c>
      <c r="D83" s="160" t="s">
        <v>88</v>
      </c>
      <c r="E83" s="160" t="s">
        <v>70</v>
      </c>
      <c r="F83" s="160" t="s">
        <v>72</v>
      </c>
      <c r="G83" s="160" t="s">
        <v>186</v>
      </c>
      <c r="H83" s="160"/>
      <c r="I83" s="164">
        <f>I84</f>
        <v>929326</v>
      </c>
      <c r="J83" s="164">
        <f>J84</f>
        <v>926907</v>
      </c>
    </row>
    <row r="84" spans="1:10" ht="31.5" x14ac:dyDescent="0.25">
      <c r="A84" s="36" t="s">
        <v>75</v>
      </c>
      <c r="B84" s="160" t="s">
        <v>65</v>
      </c>
      <c r="C84" s="160" t="s">
        <v>99</v>
      </c>
      <c r="D84" s="160" t="s">
        <v>88</v>
      </c>
      <c r="E84" s="160" t="s">
        <v>70</v>
      </c>
      <c r="F84" s="160" t="s">
        <v>72</v>
      </c>
      <c r="G84" s="160" t="s">
        <v>186</v>
      </c>
      <c r="H84" s="160" t="s">
        <v>76</v>
      </c>
      <c r="I84" s="164">
        <f>'Прил 7'!J75</f>
        <v>929326</v>
      </c>
      <c r="J84" s="164">
        <f>'Прил 7'!K75</f>
        <v>926907</v>
      </c>
    </row>
    <row r="85" spans="1:10" x14ac:dyDescent="0.25">
      <c r="A85" s="163" t="s">
        <v>189</v>
      </c>
      <c r="B85" s="160" t="s">
        <v>65</v>
      </c>
      <c r="C85" s="161">
        <v>13</v>
      </c>
      <c r="D85" s="160" t="s">
        <v>88</v>
      </c>
      <c r="E85" s="161">
        <v>1</v>
      </c>
      <c r="F85" s="160" t="s">
        <v>83</v>
      </c>
      <c r="G85" s="160" t="s">
        <v>69</v>
      </c>
      <c r="H85" s="161"/>
      <c r="I85" s="164">
        <f>I86</f>
        <v>68694</v>
      </c>
      <c r="J85" s="164">
        <f>J86</f>
        <v>73503</v>
      </c>
    </row>
    <row r="86" spans="1:10" ht="47.25" x14ac:dyDescent="0.25">
      <c r="A86" s="36" t="s">
        <v>185</v>
      </c>
      <c r="B86" s="160" t="s">
        <v>65</v>
      </c>
      <c r="C86" s="160" t="s">
        <v>99</v>
      </c>
      <c r="D86" s="160" t="s">
        <v>88</v>
      </c>
      <c r="E86" s="160" t="s">
        <v>70</v>
      </c>
      <c r="F86" s="160" t="s">
        <v>83</v>
      </c>
      <c r="G86" s="160" t="s">
        <v>186</v>
      </c>
      <c r="H86" s="160"/>
      <c r="I86" s="164">
        <f>I87</f>
        <v>68694</v>
      </c>
      <c r="J86" s="164">
        <f>J87</f>
        <v>73503</v>
      </c>
    </row>
    <row r="87" spans="1:10" ht="31.5" x14ac:dyDescent="0.25">
      <c r="A87" s="36" t="s">
        <v>75</v>
      </c>
      <c r="B87" s="160" t="s">
        <v>65</v>
      </c>
      <c r="C87" s="160" t="s">
        <v>99</v>
      </c>
      <c r="D87" s="160" t="s">
        <v>88</v>
      </c>
      <c r="E87" s="160" t="s">
        <v>70</v>
      </c>
      <c r="F87" s="160" t="s">
        <v>83</v>
      </c>
      <c r="G87" s="160" t="s">
        <v>186</v>
      </c>
      <c r="H87" s="160" t="s">
        <v>76</v>
      </c>
      <c r="I87" s="164">
        <f>'Прил 7'!J78</f>
        <v>68694</v>
      </c>
      <c r="J87" s="164">
        <f>'Прил 7'!K78</f>
        <v>73503</v>
      </c>
    </row>
    <row r="88" spans="1:10" ht="47.25" x14ac:dyDescent="0.25">
      <c r="A88" s="163" t="s">
        <v>190</v>
      </c>
      <c r="B88" s="160" t="s">
        <v>65</v>
      </c>
      <c r="C88" s="161">
        <v>13</v>
      </c>
      <c r="D88" s="160" t="s">
        <v>88</v>
      </c>
      <c r="E88" s="161">
        <v>1</v>
      </c>
      <c r="F88" s="160" t="s">
        <v>84</v>
      </c>
      <c r="G88" s="160" t="s">
        <v>69</v>
      </c>
      <c r="H88" s="161"/>
      <c r="I88" s="164">
        <f>I89</f>
        <v>5000</v>
      </c>
      <c r="J88" s="164">
        <f>J89</f>
        <v>5000</v>
      </c>
    </row>
    <row r="89" spans="1:10" ht="47.25" x14ac:dyDescent="0.25">
      <c r="A89" s="36" t="s">
        <v>185</v>
      </c>
      <c r="B89" s="160" t="s">
        <v>65</v>
      </c>
      <c r="C89" s="160" t="s">
        <v>99</v>
      </c>
      <c r="D89" s="160" t="s">
        <v>88</v>
      </c>
      <c r="E89" s="160" t="s">
        <v>70</v>
      </c>
      <c r="F89" s="160" t="s">
        <v>84</v>
      </c>
      <c r="G89" s="160" t="s">
        <v>186</v>
      </c>
      <c r="H89" s="160"/>
      <c r="I89" s="164">
        <f>I90</f>
        <v>5000</v>
      </c>
      <c r="J89" s="164">
        <f>J90</f>
        <v>5000</v>
      </c>
    </row>
    <row r="90" spans="1:10" ht="31.5" x14ac:dyDescent="0.25">
      <c r="A90" s="36" t="s">
        <v>75</v>
      </c>
      <c r="B90" s="160" t="s">
        <v>65</v>
      </c>
      <c r="C90" s="160" t="s">
        <v>99</v>
      </c>
      <c r="D90" s="160" t="s">
        <v>88</v>
      </c>
      <c r="E90" s="160" t="s">
        <v>70</v>
      </c>
      <c r="F90" s="160" t="s">
        <v>84</v>
      </c>
      <c r="G90" s="160" t="s">
        <v>186</v>
      </c>
      <c r="H90" s="160" t="s">
        <v>76</v>
      </c>
      <c r="I90" s="164">
        <f>'Прил 7'!J81</f>
        <v>5000</v>
      </c>
      <c r="J90" s="164">
        <f>'Прил 7'!K81</f>
        <v>5000</v>
      </c>
    </row>
    <row r="91" spans="1:10" ht="47.25" x14ac:dyDescent="0.25">
      <c r="A91" s="44" t="s">
        <v>192</v>
      </c>
      <c r="B91" s="126" t="s">
        <v>65</v>
      </c>
      <c r="C91" s="127">
        <v>13</v>
      </c>
      <c r="D91" s="126" t="s">
        <v>112</v>
      </c>
      <c r="E91" s="127">
        <v>0</v>
      </c>
      <c r="F91" s="126" t="s">
        <v>68</v>
      </c>
      <c r="G91" s="126" t="s">
        <v>69</v>
      </c>
      <c r="H91" s="127"/>
      <c r="I91" s="164">
        <f>I92</f>
        <v>6000</v>
      </c>
      <c r="J91" s="164">
        <f>J92</f>
        <v>6000</v>
      </c>
    </row>
    <row r="92" spans="1:10" ht="47.25" x14ac:dyDescent="0.25">
      <c r="A92" s="44" t="s">
        <v>193</v>
      </c>
      <c r="B92" s="126" t="s">
        <v>65</v>
      </c>
      <c r="C92" s="127">
        <v>13</v>
      </c>
      <c r="D92" s="126" t="s">
        <v>112</v>
      </c>
      <c r="E92" s="127">
        <v>0</v>
      </c>
      <c r="F92" s="126" t="s">
        <v>68</v>
      </c>
      <c r="G92" s="126" t="s">
        <v>69</v>
      </c>
      <c r="H92" s="127"/>
      <c r="I92" s="164">
        <f>I93+I95</f>
        <v>6000</v>
      </c>
      <c r="J92" s="164">
        <f>J93+J95</f>
        <v>6000</v>
      </c>
    </row>
    <row r="93" spans="1:10" ht="31.5" x14ac:dyDescent="0.25">
      <c r="A93" s="45" t="s">
        <v>402</v>
      </c>
      <c r="B93" s="126" t="s">
        <v>65</v>
      </c>
      <c r="C93" s="126" t="s">
        <v>99</v>
      </c>
      <c r="D93" s="126" t="s">
        <v>112</v>
      </c>
      <c r="E93" s="126" t="s">
        <v>67</v>
      </c>
      <c r="F93" s="126" t="s">
        <v>68</v>
      </c>
      <c r="G93" s="126" t="s">
        <v>403</v>
      </c>
      <c r="H93" s="126"/>
      <c r="I93" s="164">
        <f>SUM(I94:I95)</f>
        <v>6000</v>
      </c>
      <c r="J93" s="164">
        <f>SUM(J94:J95)</f>
        <v>6000</v>
      </c>
    </row>
    <row r="94" spans="1:10" x14ac:dyDescent="0.25">
      <c r="A94" s="45" t="s">
        <v>91</v>
      </c>
      <c r="B94" s="126" t="s">
        <v>65</v>
      </c>
      <c r="C94" s="126" t="s">
        <v>99</v>
      </c>
      <c r="D94" s="126" t="s">
        <v>112</v>
      </c>
      <c r="E94" s="126" t="s">
        <v>67</v>
      </c>
      <c r="F94" s="126" t="s">
        <v>68</v>
      </c>
      <c r="G94" s="126" t="s">
        <v>403</v>
      </c>
      <c r="H94" s="126" t="s">
        <v>92</v>
      </c>
      <c r="I94" s="164">
        <f>'Прил 7'!J85</f>
        <v>6000</v>
      </c>
      <c r="J94" s="164">
        <f>'Прил 7'!K85</f>
        <v>6000</v>
      </c>
    </row>
    <row r="95" spans="1:10" ht="63" hidden="1" x14ac:dyDescent="0.25">
      <c r="A95" s="45" t="s">
        <v>404</v>
      </c>
      <c r="B95" s="126" t="s">
        <v>65</v>
      </c>
      <c r="C95" s="126" t="s">
        <v>99</v>
      </c>
      <c r="D95" s="126" t="s">
        <v>112</v>
      </c>
      <c r="E95" s="126" t="s">
        <v>67</v>
      </c>
      <c r="F95" s="126" t="s">
        <v>68</v>
      </c>
      <c r="G95" s="126" t="s">
        <v>405</v>
      </c>
      <c r="H95" s="126"/>
      <c r="I95" s="164">
        <f>I96</f>
        <v>0</v>
      </c>
      <c r="J95" s="164">
        <f>J96</f>
        <v>0</v>
      </c>
    </row>
    <row r="96" spans="1:10" hidden="1" x14ac:dyDescent="0.25">
      <c r="A96" s="45" t="s">
        <v>91</v>
      </c>
      <c r="B96" s="126" t="s">
        <v>65</v>
      </c>
      <c r="C96" s="126" t="s">
        <v>99</v>
      </c>
      <c r="D96" s="126" t="s">
        <v>112</v>
      </c>
      <c r="E96" s="126" t="s">
        <v>67</v>
      </c>
      <c r="F96" s="126" t="s">
        <v>68</v>
      </c>
      <c r="G96" s="126" t="s">
        <v>405</v>
      </c>
      <c r="H96" s="126" t="s">
        <v>92</v>
      </c>
      <c r="I96" s="164"/>
      <c r="J96" s="164"/>
    </row>
    <row r="97" spans="1:10" ht="63" x14ac:dyDescent="0.25">
      <c r="A97" s="163" t="s">
        <v>194</v>
      </c>
      <c r="B97" s="160" t="s">
        <v>65</v>
      </c>
      <c r="C97" s="160" t="s">
        <v>99</v>
      </c>
      <c r="D97" s="160" t="s">
        <v>90</v>
      </c>
      <c r="E97" s="161">
        <v>0</v>
      </c>
      <c r="F97" s="160" t="s">
        <v>68</v>
      </c>
      <c r="G97" s="160" t="s">
        <v>69</v>
      </c>
      <c r="H97" s="161"/>
      <c r="I97" s="164">
        <f t="shared" ref="I97:J99" si="2">I98</f>
        <v>10000</v>
      </c>
      <c r="J97" s="164">
        <f t="shared" si="2"/>
        <v>10000</v>
      </c>
    </row>
    <row r="98" spans="1:10" x14ac:dyDescent="0.25">
      <c r="A98" s="36" t="s">
        <v>195</v>
      </c>
      <c r="B98" s="160" t="s">
        <v>65</v>
      </c>
      <c r="C98" s="160" t="s">
        <v>99</v>
      </c>
      <c r="D98" s="160" t="s">
        <v>90</v>
      </c>
      <c r="E98" s="160" t="s">
        <v>67</v>
      </c>
      <c r="F98" s="160" t="s">
        <v>65</v>
      </c>
      <c r="G98" s="160" t="s">
        <v>69</v>
      </c>
      <c r="H98" s="160"/>
      <c r="I98" s="164">
        <f t="shared" si="2"/>
        <v>10000</v>
      </c>
      <c r="J98" s="164">
        <f t="shared" si="2"/>
        <v>10000</v>
      </c>
    </row>
    <row r="99" spans="1:10" ht="31.5" x14ac:dyDescent="0.25">
      <c r="A99" s="36" t="s">
        <v>196</v>
      </c>
      <c r="B99" s="160" t="s">
        <v>65</v>
      </c>
      <c r="C99" s="160" t="s">
        <v>99</v>
      </c>
      <c r="D99" s="160" t="s">
        <v>90</v>
      </c>
      <c r="E99" s="160" t="s">
        <v>67</v>
      </c>
      <c r="F99" s="160" t="s">
        <v>65</v>
      </c>
      <c r="G99" s="160" t="s">
        <v>197</v>
      </c>
      <c r="H99" s="160"/>
      <c r="I99" s="164">
        <f t="shared" si="2"/>
        <v>10000</v>
      </c>
      <c r="J99" s="164">
        <f t="shared" si="2"/>
        <v>10000</v>
      </c>
    </row>
    <row r="100" spans="1:10" ht="31.5" x14ac:dyDescent="0.25">
      <c r="A100" s="36" t="s">
        <v>75</v>
      </c>
      <c r="B100" s="160" t="s">
        <v>65</v>
      </c>
      <c r="C100" s="160" t="s">
        <v>99</v>
      </c>
      <c r="D100" s="160" t="s">
        <v>90</v>
      </c>
      <c r="E100" s="160" t="s">
        <v>67</v>
      </c>
      <c r="F100" s="160" t="s">
        <v>65</v>
      </c>
      <c r="G100" s="160" t="s">
        <v>197</v>
      </c>
      <c r="H100" s="160" t="s">
        <v>76</v>
      </c>
      <c r="I100" s="164">
        <f>'Прил 7'!J91</f>
        <v>10000</v>
      </c>
      <c r="J100" s="164">
        <f>'Прил 7'!K91</f>
        <v>10000</v>
      </c>
    </row>
    <row r="101" spans="1:10" ht="63" x14ac:dyDescent="0.25">
      <c r="A101" s="163" t="s">
        <v>143</v>
      </c>
      <c r="B101" s="160" t="s">
        <v>65</v>
      </c>
      <c r="C101" s="161">
        <v>13</v>
      </c>
      <c r="D101" s="160" t="s">
        <v>94</v>
      </c>
      <c r="E101" s="161">
        <v>0</v>
      </c>
      <c r="F101" s="160" t="s">
        <v>68</v>
      </c>
      <c r="G101" s="160" t="s">
        <v>69</v>
      </c>
      <c r="H101" s="161"/>
      <c r="I101" s="164">
        <f>I102+I105</f>
        <v>1135000</v>
      </c>
      <c r="J101" s="164">
        <f>J102+J105</f>
        <v>1135000</v>
      </c>
    </row>
    <row r="102" spans="1:10" ht="31.5" x14ac:dyDescent="0.25">
      <c r="A102" s="36" t="s">
        <v>144</v>
      </c>
      <c r="B102" s="160" t="s">
        <v>65</v>
      </c>
      <c r="C102" s="160" t="s">
        <v>99</v>
      </c>
      <c r="D102" s="160" t="s">
        <v>94</v>
      </c>
      <c r="E102" s="160" t="s">
        <v>67</v>
      </c>
      <c r="F102" s="160" t="s">
        <v>65</v>
      </c>
      <c r="G102" s="160" t="s">
        <v>69</v>
      </c>
      <c r="H102" s="160"/>
      <c r="I102" s="164">
        <f t="shared" ref="I102:J103" si="3">I103</f>
        <v>135000</v>
      </c>
      <c r="J102" s="164">
        <f t="shared" si="3"/>
        <v>135000</v>
      </c>
    </row>
    <row r="103" spans="1:10" ht="31.5" x14ac:dyDescent="0.25">
      <c r="A103" s="36" t="s">
        <v>144</v>
      </c>
      <c r="B103" s="160" t="s">
        <v>65</v>
      </c>
      <c r="C103" s="160" t="s">
        <v>99</v>
      </c>
      <c r="D103" s="160" t="s">
        <v>94</v>
      </c>
      <c r="E103" s="160" t="s">
        <v>67</v>
      </c>
      <c r="F103" s="160" t="s">
        <v>65</v>
      </c>
      <c r="G103" s="160" t="s">
        <v>145</v>
      </c>
      <c r="H103" s="160"/>
      <c r="I103" s="164">
        <f t="shared" si="3"/>
        <v>135000</v>
      </c>
      <c r="J103" s="164">
        <f t="shared" si="3"/>
        <v>135000</v>
      </c>
    </row>
    <row r="104" spans="1:10" ht="31.5" x14ac:dyDescent="0.25">
      <c r="A104" s="36" t="s">
        <v>75</v>
      </c>
      <c r="B104" s="160" t="s">
        <v>65</v>
      </c>
      <c r="C104" s="160" t="s">
        <v>99</v>
      </c>
      <c r="D104" s="160" t="s">
        <v>94</v>
      </c>
      <c r="E104" s="160" t="s">
        <v>67</v>
      </c>
      <c r="F104" s="160" t="s">
        <v>65</v>
      </c>
      <c r="G104" s="160" t="s">
        <v>145</v>
      </c>
      <c r="H104" s="160" t="s">
        <v>76</v>
      </c>
      <c r="I104" s="164">
        <f>'Прил 7'!J95</f>
        <v>135000</v>
      </c>
      <c r="J104" s="164">
        <f>'Прил 7'!K95</f>
        <v>135000</v>
      </c>
    </row>
    <row r="105" spans="1:10" x14ac:dyDescent="0.25">
      <c r="A105" s="45" t="s">
        <v>412</v>
      </c>
      <c r="B105" s="126" t="s">
        <v>65</v>
      </c>
      <c r="C105" s="126" t="s">
        <v>99</v>
      </c>
      <c r="D105" s="126" t="s">
        <v>94</v>
      </c>
      <c r="E105" s="126" t="s">
        <v>67</v>
      </c>
      <c r="F105" s="126" t="s">
        <v>66</v>
      </c>
      <c r="G105" s="126" t="s">
        <v>69</v>
      </c>
      <c r="H105" s="126"/>
      <c r="I105" s="164">
        <f>I106</f>
        <v>1000000</v>
      </c>
      <c r="J105" s="164">
        <f>J106</f>
        <v>1000000</v>
      </c>
    </row>
    <row r="106" spans="1:10" ht="31.5" x14ac:dyDescent="0.25">
      <c r="A106" s="45" t="s">
        <v>144</v>
      </c>
      <c r="B106" s="126" t="s">
        <v>65</v>
      </c>
      <c r="C106" s="126" t="s">
        <v>99</v>
      </c>
      <c r="D106" s="126" t="s">
        <v>94</v>
      </c>
      <c r="E106" s="126" t="s">
        <v>67</v>
      </c>
      <c r="F106" s="126" t="s">
        <v>66</v>
      </c>
      <c r="G106" s="126" t="s">
        <v>145</v>
      </c>
      <c r="H106" s="126"/>
      <c r="I106" s="164">
        <f>I107</f>
        <v>1000000</v>
      </c>
      <c r="J106" s="164">
        <f>J107</f>
        <v>1000000</v>
      </c>
    </row>
    <row r="107" spans="1:10" ht="31.5" x14ac:dyDescent="0.25">
      <c r="A107" s="45" t="s">
        <v>75</v>
      </c>
      <c r="B107" s="126" t="s">
        <v>65</v>
      </c>
      <c r="C107" s="126" t="s">
        <v>99</v>
      </c>
      <c r="D107" s="126" t="s">
        <v>94</v>
      </c>
      <c r="E107" s="126" t="s">
        <v>67</v>
      </c>
      <c r="F107" s="126" t="s">
        <v>66</v>
      </c>
      <c r="G107" s="126" t="s">
        <v>145</v>
      </c>
      <c r="H107" s="126" t="s">
        <v>76</v>
      </c>
      <c r="I107" s="164">
        <f>'Прил 7'!J98</f>
        <v>1000000</v>
      </c>
      <c r="J107" s="164">
        <f>'Прил 7'!K98</f>
        <v>1000000</v>
      </c>
    </row>
    <row r="108" spans="1:10" ht="63" x14ac:dyDescent="0.25">
      <c r="A108" s="163" t="s">
        <v>198</v>
      </c>
      <c r="B108" s="160" t="s">
        <v>65</v>
      </c>
      <c r="C108" s="161">
        <v>13</v>
      </c>
      <c r="D108" s="160" t="s">
        <v>99</v>
      </c>
      <c r="E108" s="161">
        <v>0</v>
      </c>
      <c r="F108" s="160" t="s">
        <v>68</v>
      </c>
      <c r="G108" s="160" t="s">
        <v>69</v>
      </c>
      <c r="H108" s="161"/>
      <c r="I108" s="164">
        <f t="shared" ref="I108:J110" si="4">I109</f>
        <v>10000</v>
      </c>
      <c r="J108" s="164">
        <f t="shared" si="4"/>
        <v>10000</v>
      </c>
    </row>
    <row r="109" spans="1:10" ht="47.25" x14ac:dyDescent="0.25">
      <c r="A109" s="36" t="s">
        <v>199</v>
      </c>
      <c r="B109" s="160" t="s">
        <v>65</v>
      </c>
      <c r="C109" s="160" t="s">
        <v>99</v>
      </c>
      <c r="D109" s="160" t="s">
        <v>99</v>
      </c>
      <c r="E109" s="160" t="s">
        <v>67</v>
      </c>
      <c r="F109" s="160" t="s">
        <v>66</v>
      </c>
      <c r="G109" s="160" t="s">
        <v>69</v>
      </c>
      <c r="H109" s="160"/>
      <c r="I109" s="164">
        <f t="shared" si="4"/>
        <v>10000</v>
      </c>
      <c r="J109" s="164">
        <f t="shared" si="4"/>
        <v>10000</v>
      </c>
    </row>
    <row r="110" spans="1:10" ht="31.5" x14ac:dyDescent="0.25">
      <c r="A110" s="36" t="s">
        <v>200</v>
      </c>
      <c r="B110" s="160" t="s">
        <v>65</v>
      </c>
      <c r="C110" s="160" t="s">
        <v>99</v>
      </c>
      <c r="D110" s="160" t="s">
        <v>99</v>
      </c>
      <c r="E110" s="160" t="s">
        <v>67</v>
      </c>
      <c r="F110" s="160" t="s">
        <v>66</v>
      </c>
      <c r="G110" s="160" t="s">
        <v>201</v>
      </c>
      <c r="H110" s="160"/>
      <c r="I110" s="164">
        <f t="shared" si="4"/>
        <v>10000</v>
      </c>
      <c r="J110" s="164">
        <f t="shared" si="4"/>
        <v>10000</v>
      </c>
    </row>
    <row r="111" spans="1:10" ht="31.5" x14ac:dyDescent="0.25">
      <c r="A111" s="36" t="s">
        <v>75</v>
      </c>
      <c r="B111" s="160" t="s">
        <v>65</v>
      </c>
      <c r="C111" s="160" t="s">
        <v>99</v>
      </c>
      <c r="D111" s="160" t="s">
        <v>99</v>
      </c>
      <c r="E111" s="160" t="s">
        <v>67</v>
      </c>
      <c r="F111" s="160" t="s">
        <v>66</v>
      </c>
      <c r="G111" s="160" t="s">
        <v>201</v>
      </c>
      <c r="H111" s="160" t="s">
        <v>76</v>
      </c>
      <c r="I111" s="164">
        <f>'Прил 7'!J102</f>
        <v>10000</v>
      </c>
      <c r="J111" s="164">
        <f>'Прил 7'!K102</f>
        <v>10000</v>
      </c>
    </row>
    <row r="112" spans="1:10" x14ac:dyDescent="0.25">
      <c r="A112" s="163" t="s">
        <v>136</v>
      </c>
      <c r="B112" s="160" t="s">
        <v>65</v>
      </c>
      <c r="C112" s="161">
        <v>13</v>
      </c>
      <c r="D112" s="160" t="s">
        <v>202</v>
      </c>
      <c r="E112" s="161">
        <v>0</v>
      </c>
      <c r="F112" s="160" t="s">
        <v>68</v>
      </c>
      <c r="G112" s="160" t="s">
        <v>69</v>
      </c>
      <c r="H112" s="161"/>
      <c r="I112" s="164">
        <f>I113</f>
        <v>20000</v>
      </c>
      <c r="J112" s="164">
        <f>J113</f>
        <v>20000</v>
      </c>
    </row>
    <row r="113" spans="1:10" ht="31.5" x14ac:dyDescent="0.25">
      <c r="A113" s="163" t="s">
        <v>137</v>
      </c>
      <c r="B113" s="160" t="s">
        <v>65</v>
      </c>
      <c r="C113" s="161">
        <v>13</v>
      </c>
      <c r="D113" s="161">
        <v>91</v>
      </c>
      <c r="E113" s="161">
        <v>1</v>
      </c>
      <c r="F113" s="160" t="s">
        <v>68</v>
      </c>
      <c r="G113" s="160" t="s">
        <v>69</v>
      </c>
      <c r="H113" s="161"/>
      <c r="I113" s="164">
        <f t="shared" ref="I113:J114" si="5">I114</f>
        <v>20000</v>
      </c>
      <c r="J113" s="164">
        <f t="shared" si="5"/>
        <v>20000</v>
      </c>
    </row>
    <row r="114" spans="1:10" ht="47.25" x14ac:dyDescent="0.25">
      <c r="A114" s="163" t="s">
        <v>203</v>
      </c>
      <c r="B114" s="160" t="s">
        <v>65</v>
      </c>
      <c r="C114" s="161">
        <v>13</v>
      </c>
      <c r="D114" s="161">
        <v>91</v>
      </c>
      <c r="E114" s="161">
        <v>1</v>
      </c>
      <c r="F114" s="160" t="s">
        <v>68</v>
      </c>
      <c r="G114" s="160" t="s">
        <v>204</v>
      </c>
      <c r="H114" s="161"/>
      <c r="I114" s="164">
        <f t="shared" si="5"/>
        <v>20000</v>
      </c>
      <c r="J114" s="164">
        <f t="shared" si="5"/>
        <v>20000</v>
      </c>
    </row>
    <row r="115" spans="1:10" ht="31.5" x14ac:dyDescent="0.25">
      <c r="A115" s="163" t="s">
        <v>75</v>
      </c>
      <c r="B115" s="160" t="s">
        <v>65</v>
      </c>
      <c r="C115" s="161">
        <v>13</v>
      </c>
      <c r="D115" s="161">
        <v>91</v>
      </c>
      <c r="E115" s="161">
        <v>1</v>
      </c>
      <c r="F115" s="160" t="s">
        <v>68</v>
      </c>
      <c r="G115" s="160" t="s">
        <v>204</v>
      </c>
      <c r="H115" s="161">
        <v>240</v>
      </c>
      <c r="I115" s="164">
        <f>'Прил 7'!J106</f>
        <v>20000</v>
      </c>
      <c r="J115" s="164">
        <f>'Прил 7'!K106</f>
        <v>20000</v>
      </c>
    </row>
    <row r="116" spans="1:10" x14ac:dyDescent="0.25">
      <c r="A116" s="45" t="s">
        <v>80</v>
      </c>
      <c r="B116" s="126" t="s">
        <v>65</v>
      </c>
      <c r="C116" s="126" t="s">
        <v>99</v>
      </c>
      <c r="D116" s="126" t="s">
        <v>81</v>
      </c>
      <c r="E116" s="127">
        <v>0</v>
      </c>
      <c r="F116" s="126" t="s">
        <v>68</v>
      </c>
      <c r="G116" s="126" t="s">
        <v>69</v>
      </c>
      <c r="H116" s="127"/>
      <c r="I116" s="164">
        <f t="shared" ref="I116:J118" si="6">I117</f>
        <v>130740.28</v>
      </c>
      <c r="J116" s="164">
        <f t="shared" si="6"/>
        <v>134966.46000000002</v>
      </c>
    </row>
    <row r="117" spans="1:10" x14ac:dyDescent="0.25">
      <c r="A117" s="45" t="s">
        <v>207</v>
      </c>
      <c r="B117" s="126" t="s">
        <v>65</v>
      </c>
      <c r="C117" s="126" t="s">
        <v>99</v>
      </c>
      <c r="D117" s="126" t="s">
        <v>81</v>
      </c>
      <c r="E117" s="127">
        <v>9</v>
      </c>
      <c r="F117" s="126" t="s">
        <v>68</v>
      </c>
      <c r="G117" s="126" t="s">
        <v>69</v>
      </c>
      <c r="H117" s="127"/>
      <c r="I117" s="164">
        <f>I118+I120</f>
        <v>130740.28</v>
      </c>
      <c r="J117" s="164">
        <f>J118+J120</f>
        <v>134966.46000000002</v>
      </c>
    </row>
    <row r="118" spans="1:10" x14ac:dyDescent="0.25">
      <c r="A118" s="45" t="s">
        <v>210</v>
      </c>
      <c r="B118" s="126" t="s">
        <v>65</v>
      </c>
      <c r="C118" s="126" t="s">
        <v>99</v>
      </c>
      <c r="D118" s="126" t="s">
        <v>81</v>
      </c>
      <c r="E118" s="127">
        <v>9</v>
      </c>
      <c r="F118" s="126" t="s">
        <v>68</v>
      </c>
      <c r="G118" s="127">
        <v>29090</v>
      </c>
      <c r="H118" s="126"/>
      <c r="I118" s="164">
        <f t="shared" si="6"/>
        <v>20000</v>
      </c>
      <c r="J118" s="164">
        <f t="shared" si="6"/>
        <v>20000</v>
      </c>
    </row>
    <row r="119" spans="1:10" x14ac:dyDescent="0.25">
      <c r="A119" s="45" t="s">
        <v>77</v>
      </c>
      <c r="B119" s="126" t="s">
        <v>65</v>
      </c>
      <c r="C119" s="126" t="s">
        <v>99</v>
      </c>
      <c r="D119" s="126" t="s">
        <v>81</v>
      </c>
      <c r="E119" s="127">
        <v>9</v>
      </c>
      <c r="F119" s="126" t="s">
        <v>68</v>
      </c>
      <c r="G119" s="127">
        <v>29090</v>
      </c>
      <c r="H119" s="126" t="s">
        <v>78</v>
      </c>
      <c r="I119" s="164">
        <f>'Прил 7'!J106</f>
        <v>20000</v>
      </c>
      <c r="J119" s="164">
        <f>'Прил 7'!K106</f>
        <v>20000</v>
      </c>
    </row>
    <row r="120" spans="1:10" ht="31.5" x14ac:dyDescent="0.25">
      <c r="A120" s="44" t="s">
        <v>302</v>
      </c>
      <c r="B120" s="197" t="s">
        <v>65</v>
      </c>
      <c r="C120" s="197" t="s">
        <v>99</v>
      </c>
      <c r="D120" s="197" t="s">
        <v>81</v>
      </c>
      <c r="E120" s="198">
        <v>9</v>
      </c>
      <c r="F120" s="197" t="s">
        <v>68</v>
      </c>
      <c r="G120" s="197" t="s">
        <v>303</v>
      </c>
      <c r="H120" s="198"/>
      <c r="I120" s="164">
        <f>I121</f>
        <v>110740.28</v>
      </c>
      <c r="J120" s="164">
        <f>J121</f>
        <v>114966.46</v>
      </c>
    </row>
    <row r="121" spans="1:10" x14ac:dyDescent="0.25">
      <c r="A121" s="45" t="s">
        <v>105</v>
      </c>
      <c r="B121" s="197" t="s">
        <v>65</v>
      </c>
      <c r="C121" s="197" t="s">
        <v>99</v>
      </c>
      <c r="D121" s="197" t="s">
        <v>81</v>
      </c>
      <c r="E121" s="198">
        <v>9</v>
      </c>
      <c r="F121" s="197" t="s">
        <v>68</v>
      </c>
      <c r="G121" s="197" t="s">
        <v>303</v>
      </c>
      <c r="H121" s="198">
        <v>520</v>
      </c>
      <c r="I121" s="164">
        <f>'Прил 7'!J108</f>
        <v>110740.28</v>
      </c>
      <c r="J121" s="164">
        <f>'Прил 7'!K108</f>
        <v>114966.46</v>
      </c>
    </row>
    <row r="122" spans="1:10" x14ac:dyDescent="0.25">
      <c r="A122" s="167" t="s">
        <v>106</v>
      </c>
      <c r="B122" s="160" t="s">
        <v>66</v>
      </c>
      <c r="C122" s="161" t="s">
        <v>22</v>
      </c>
      <c r="D122" s="160" t="s">
        <v>134</v>
      </c>
      <c r="E122" s="161"/>
      <c r="F122" s="160"/>
      <c r="G122" s="160"/>
      <c r="H122" s="161" t="s">
        <v>135</v>
      </c>
      <c r="I122" s="162">
        <f t="shared" ref="I122:J128" si="7">I123</f>
        <v>311237.99999999994</v>
      </c>
      <c r="J122" s="162">
        <f t="shared" si="7"/>
        <v>321878.49</v>
      </c>
    </row>
    <row r="123" spans="1:10" x14ac:dyDescent="0.25">
      <c r="A123" s="168" t="s">
        <v>107</v>
      </c>
      <c r="B123" s="160" t="s">
        <v>66</v>
      </c>
      <c r="C123" s="160" t="s">
        <v>72</v>
      </c>
      <c r="D123" s="160" t="s">
        <v>134</v>
      </c>
      <c r="E123" s="161"/>
      <c r="F123" s="160"/>
      <c r="G123" s="160"/>
      <c r="H123" s="161" t="s">
        <v>135</v>
      </c>
      <c r="I123" s="164">
        <f t="shared" si="7"/>
        <v>311237.99999999994</v>
      </c>
      <c r="J123" s="164">
        <f t="shared" si="7"/>
        <v>321878.49</v>
      </c>
    </row>
    <row r="124" spans="1:10" x14ac:dyDescent="0.25">
      <c r="A124" s="36" t="s">
        <v>80</v>
      </c>
      <c r="B124" s="160" t="s">
        <v>66</v>
      </c>
      <c r="C124" s="160" t="s">
        <v>72</v>
      </c>
      <c r="D124" s="160" t="s">
        <v>81</v>
      </c>
      <c r="E124" s="161">
        <v>0</v>
      </c>
      <c r="F124" s="160" t="s">
        <v>68</v>
      </c>
      <c r="G124" s="160" t="s">
        <v>69</v>
      </c>
      <c r="H124" s="161"/>
      <c r="I124" s="164">
        <f t="shared" si="7"/>
        <v>311237.99999999994</v>
      </c>
      <c r="J124" s="164">
        <f t="shared" si="7"/>
        <v>321878.49</v>
      </c>
    </row>
    <row r="125" spans="1:10" x14ac:dyDescent="0.25">
      <c r="A125" s="36" t="s">
        <v>207</v>
      </c>
      <c r="B125" s="160" t="s">
        <v>66</v>
      </c>
      <c r="C125" s="160" t="s">
        <v>72</v>
      </c>
      <c r="D125" s="160" t="s">
        <v>81</v>
      </c>
      <c r="E125" s="161">
        <v>9</v>
      </c>
      <c r="F125" s="160" t="s">
        <v>68</v>
      </c>
      <c r="G125" s="160" t="s">
        <v>69</v>
      </c>
      <c r="H125" s="161"/>
      <c r="I125" s="164">
        <f>I126+I128</f>
        <v>311237.99999999994</v>
      </c>
      <c r="J125" s="164">
        <f>J126+J128</f>
        <v>321878.49</v>
      </c>
    </row>
    <row r="126" spans="1:10" ht="47.25" hidden="1" x14ac:dyDescent="0.25">
      <c r="A126" s="45" t="s">
        <v>513</v>
      </c>
      <c r="B126" s="202" t="s">
        <v>66</v>
      </c>
      <c r="C126" s="202" t="s">
        <v>72</v>
      </c>
      <c r="D126" s="202" t="s">
        <v>81</v>
      </c>
      <c r="E126" s="203">
        <v>9</v>
      </c>
      <c r="F126" s="202" t="s">
        <v>68</v>
      </c>
      <c r="G126" s="202" t="s">
        <v>139</v>
      </c>
      <c r="H126" s="203"/>
      <c r="I126" s="164">
        <f>I127</f>
        <v>0</v>
      </c>
      <c r="J126" s="164">
        <f>J127</f>
        <v>0</v>
      </c>
    </row>
    <row r="127" spans="1:10" hidden="1" x14ac:dyDescent="0.25">
      <c r="A127" s="44" t="s">
        <v>140</v>
      </c>
      <c r="B127" s="202" t="s">
        <v>66</v>
      </c>
      <c r="C127" s="202" t="s">
        <v>72</v>
      </c>
      <c r="D127" s="202" t="s">
        <v>81</v>
      </c>
      <c r="E127" s="203">
        <v>9</v>
      </c>
      <c r="F127" s="202" t="s">
        <v>68</v>
      </c>
      <c r="G127" s="202" t="s">
        <v>139</v>
      </c>
      <c r="H127" s="203">
        <v>120</v>
      </c>
      <c r="I127" s="164">
        <f>'Прил 7'!J114</f>
        <v>0</v>
      </c>
      <c r="J127" s="164">
        <f>'Прил 7'!K114</f>
        <v>0</v>
      </c>
    </row>
    <row r="128" spans="1:10" ht="63" x14ac:dyDescent="0.25">
      <c r="A128" s="163" t="s">
        <v>211</v>
      </c>
      <c r="B128" s="160" t="s">
        <v>66</v>
      </c>
      <c r="C128" s="160" t="s">
        <v>72</v>
      </c>
      <c r="D128" s="160" t="s">
        <v>81</v>
      </c>
      <c r="E128" s="161">
        <v>9</v>
      </c>
      <c r="F128" s="160" t="s">
        <v>68</v>
      </c>
      <c r="G128" s="160" t="s">
        <v>108</v>
      </c>
      <c r="H128" s="161"/>
      <c r="I128" s="164">
        <f t="shared" si="7"/>
        <v>311237.99999999994</v>
      </c>
      <c r="J128" s="164">
        <f t="shared" si="7"/>
        <v>321878.49</v>
      </c>
    </row>
    <row r="129" spans="1:10" x14ac:dyDescent="0.25">
      <c r="A129" s="163" t="s">
        <v>140</v>
      </c>
      <c r="B129" s="160" t="s">
        <v>66</v>
      </c>
      <c r="C129" s="160" t="s">
        <v>72</v>
      </c>
      <c r="D129" s="160" t="s">
        <v>81</v>
      </c>
      <c r="E129" s="161">
        <v>9</v>
      </c>
      <c r="F129" s="160" t="s">
        <v>68</v>
      </c>
      <c r="G129" s="160" t="s">
        <v>108</v>
      </c>
      <c r="H129" s="161">
        <v>120</v>
      </c>
      <c r="I129" s="164">
        <f>'Прил 7'!J116</f>
        <v>311237.99999999994</v>
      </c>
      <c r="J129" s="164">
        <f>'Прил 7'!K116</f>
        <v>321878.49</v>
      </c>
    </row>
    <row r="130" spans="1:10" ht="31.5" x14ac:dyDescent="0.25">
      <c r="A130" s="167" t="s">
        <v>109</v>
      </c>
      <c r="B130" s="160" t="s">
        <v>72</v>
      </c>
      <c r="C130" s="160"/>
      <c r="D130" s="160"/>
      <c r="E130" s="161"/>
      <c r="F130" s="160"/>
      <c r="G130" s="160"/>
      <c r="H130" s="161"/>
      <c r="I130" s="164">
        <f>I131+I140</f>
        <v>1282578.6000000001</v>
      </c>
      <c r="J130" s="164">
        <f>J131+J140</f>
        <v>630978.6</v>
      </c>
    </row>
    <row r="131" spans="1:10" x14ac:dyDescent="0.25">
      <c r="A131" s="163" t="s">
        <v>406</v>
      </c>
      <c r="B131" s="160" t="s">
        <v>72</v>
      </c>
      <c r="C131" s="160" t="s">
        <v>102</v>
      </c>
      <c r="D131" s="160"/>
      <c r="E131" s="161"/>
      <c r="F131" s="160"/>
      <c r="G131" s="160"/>
      <c r="H131" s="161"/>
      <c r="I131" s="164">
        <f>I132</f>
        <v>180000</v>
      </c>
      <c r="J131" s="164">
        <f>J132</f>
        <v>180000</v>
      </c>
    </row>
    <row r="132" spans="1:10" ht="110.25" x14ac:dyDescent="0.25">
      <c r="A132" s="163" t="s">
        <v>212</v>
      </c>
      <c r="B132" s="160" t="s">
        <v>72</v>
      </c>
      <c r="C132" s="160" t="s">
        <v>102</v>
      </c>
      <c r="D132" s="160" t="s">
        <v>66</v>
      </c>
      <c r="E132" s="161">
        <v>0</v>
      </c>
      <c r="F132" s="160" t="s">
        <v>68</v>
      </c>
      <c r="G132" s="160" t="s">
        <v>69</v>
      </c>
      <c r="H132" s="161"/>
      <c r="I132" s="164">
        <f>I133</f>
        <v>180000</v>
      </c>
      <c r="J132" s="164">
        <f>J133</f>
        <v>180000</v>
      </c>
    </row>
    <row r="133" spans="1:10" ht="31.5" x14ac:dyDescent="0.25">
      <c r="A133" s="36" t="s">
        <v>213</v>
      </c>
      <c r="B133" s="160" t="s">
        <v>72</v>
      </c>
      <c r="C133" s="160" t="s">
        <v>102</v>
      </c>
      <c r="D133" s="160" t="s">
        <v>66</v>
      </c>
      <c r="E133" s="161">
        <v>1</v>
      </c>
      <c r="F133" s="160" t="s">
        <v>68</v>
      </c>
      <c r="G133" s="160" t="s">
        <v>69</v>
      </c>
      <c r="H133" s="161"/>
      <c r="I133" s="164">
        <f>I134+I136+I138</f>
        <v>180000</v>
      </c>
      <c r="J133" s="164">
        <f>J134+J136+J138</f>
        <v>180000</v>
      </c>
    </row>
    <row r="134" spans="1:10" ht="31.5" x14ac:dyDescent="0.25">
      <c r="A134" s="36" t="s">
        <v>214</v>
      </c>
      <c r="B134" s="160" t="s">
        <v>72</v>
      </c>
      <c r="C134" s="160" t="s">
        <v>102</v>
      </c>
      <c r="D134" s="160" t="s">
        <v>66</v>
      </c>
      <c r="E134" s="161">
        <v>1</v>
      </c>
      <c r="F134" s="160" t="s">
        <v>68</v>
      </c>
      <c r="G134" s="160" t="s">
        <v>215</v>
      </c>
      <c r="H134" s="161"/>
      <c r="I134" s="164">
        <f>I135</f>
        <v>70000</v>
      </c>
      <c r="J134" s="164">
        <f>J135</f>
        <v>70000</v>
      </c>
    </row>
    <row r="135" spans="1:10" ht="31.5" x14ac:dyDescent="0.25">
      <c r="A135" s="36" t="s">
        <v>75</v>
      </c>
      <c r="B135" s="160" t="s">
        <v>72</v>
      </c>
      <c r="C135" s="160" t="s">
        <v>102</v>
      </c>
      <c r="D135" s="160" t="s">
        <v>66</v>
      </c>
      <c r="E135" s="161">
        <v>1</v>
      </c>
      <c r="F135" s="160" t="s">
        <v>68</v>
      </c>
      <c r="G135" s="160" t="s">
        <v>215</v>
      </c>
      <c r="H135" s="161">
        <v>240</v>
      </c>
      <c r="I135" s="164">
        <f>'Прил 7'!J122</f>
        <v>70000</v>
      </c>
      <c r="J135" s="164">
        <f>'Прил 7'!K122</f>
        <v>70000</v>
      </c>
    </row>
    <row r="136" spans="1:10" ht="31.5" x14ac:dyDescent="0.25">
      <c r="A136" s="36" t="s">
        <v>417</v>
      </c>
      <c r="B136" s="160" t="s">
        <v>72</v>
      </c>
      <c r="C136" s="160" t="s">
        <v>102</v>
      </c>
      <c r="D136" s="160" t="s">
        <v>66</v>
      </c>
      <c r="E136" s="161">
        <v>1</v>
      </c>
      <c r="F136" s="160" t="s">
        <v>68</v>
      </c>
      <c r="G136" s="160" t="s">
        <v>216</v>
      </c>
      <c r="H136" s="161"/>
      <c r="I136" s="164">
        <f>I137</f>
        <v>10000</v>
      </c>
      <c r="J136" s="164">
        <f>J137</f>
        <v>10000</v>
      </c>
    </row>
    <row r="137" spans="1:10" ht="31.5" x14ac:dyDescent="0.25">
      <c r="A137" s="36" t="s">
        <v>75</v>
      </c>
      <c r="B137" s="160" t="s">
        <v>72</v>
      </c>
      <c r="C137" s="160" t="s">
        <v>102</v>
      </c>
      <c r="D137" s="160" t="s">
        <v>66</v>
      </c>
      <c r="E137" s="161">
        <v>1</v>
      </c>
      <c r="F137" s="160" t="s">
        <v>68</v>
      </c>
      <c r="G137" s="160" t="s">
        <v>216</v>
      </c>
      <c r="H137" s="161">
        <v>240</v>
      </c>
      <c r="I137" s="164">
        <f>'Прил 7'!J124</f>
        <v>10000</v>
      </c>
      <c r="J137" s="164">
        <f>'Прил 7'!K124</f>
        <v>10000</v>
      </c>
    </row>
    <row r="138" spans="1:10" x14ac:dyDescent="0.25">
      <c r="A138" s="36" t="s">
        <v>217</v>
      </c>
      <c r="B138" s="160" t="s">
        <v>72</v>
      </c>
      <c r="C138" s="160" t="s">
        <v>102</v>
      </c>
      <c r="D138" s="160" t="s">
        <v>66</v>
      </c>
      <c r="E138" s="161">
        <v>1</v>
      </c>
      <c r="F138" s="160" t="s">
        <v>68</v>
      </c>
      <c r="G138" s="160" t="s">
        <v>218</v>
      </c>
      <c r="H138" s="161"/>
      <c r="I138" s="164">
        <f>I139</f>
        <v>100000</v>
      </c>
      <c r="J138" s="164">
        <f>J139</f>
        <v>100000</v>
      </c>
    </row>
    <row r="139" spans="1:10" ht="31.5" x14ac:dyDescent="0.25">
      <c r="A139" s="36" t="s">
        <v>75</v>
      </c>
      <c r="B139" s="160" t="s">
        <v>72</v>
      </c>
      <c r="C139" s="160" t="s">
        <v>102</v>
      </c>
      <c r="D139" s="160" t="s">
        <v>66</v>
      </c>
      <c r="E139" s="161">
        <v>1</v>
      </c>
      <c r="F139" s="160" t="s">
        <v>68</v>
      </c>
      <c r="G139" s="160" t="s">
        <v>218</v>
      </c>
      <c r="H139" s="161">
        <v>240</v>
      </c>
      <c r="I139" s="164">
        <f>'Прил 7'!J126</f>
        <v>100000</v>
      </c>
      <c r="J139" s="164">
        <f>'Прил 7'!K126</f>
        <v>100000</v>
      </c>
    </row>
    <row r="140" spans="1:10" ht="47.25" x14ac:dyDescent="0.25">
      <c r="A140" s="36" t="s">
        <v>407</v>
      </c>
      <c r="B140" s="160" t="s">
        <v>72</v>
      </c>
      <c r="C140" s="160" t="s">
        <v>90</v>
      </c>
      <c r="D140" s="160"/>
      <c r="E140" s="161"/>
      <c r="F140" s="160"/>
      <c r="G140" s="160"/>
      <c r="H140" s="161"/>
      <c r="I140" s="164">
        <f>I141+I151</f>
        <v>1102578.6000000001</v>
      </c>
      <c r="J140" s="164">
        <f>J141+J151</f>
        <v>450978.6</v>
      </c>
    </row>
    <row r="141" spans="1:10" ht="110.25" x14ac:dyDescent="0.25">
      <c r="A141" s="36" t="s">
        <v>212</v>
      </c>
      <c r="B141" s="160" t="s">
        <v>72</v>
      </c>
      <c r="C141" s="160" t="s">
        <v>90</v>
      </c>
      <c r="D141" s="160" t="s">
        <v>66</v>
      </c>
      <c r="E141" s="161">
        <v>0</v>
      </c>
      <c r="F141" s="160" t="s">
        <v>68</v>
      </c>
      <c r="G141" s="160" t="s">
        <v>69</v>
      </c>
      <c r="H141" s="161"/>
      <c r="I141" s="164">
        <f>I142+I145+I148</f>
        <v>457878.6</v>
      </c>
      <c r="J141" s="164">
        <f>J142+J145+J148</f>
        <v>450978.6</v>
      </c>
    </row>
    <row r="142" spans="1:10" ht="47.25" x14ac:dyDescent="0.25">
      <c r="A142" s="169" t="s">
        <v>219</v>
      </c>
      <c r="B142" s="160" t="s">
        <v>72</v>
      </c>
      <c r="C142" s="160" t="s">
        <v>90</v>
      </c>
      <c r="D142" s="160" t="s">
        <v>66</v>
      </c>
      <c r="E142" s="161">
        <v>2</v>
      </c>
      <c r="F142" s="160" t="s">
        <v>68</v>
      </c>
      <c r="G142" s="160" t="s">
        <v>69</v>
      </c>
      <c r="H142" s="161"/>
      <c r="I142" s="164">
        <f>I143</f>
        <v>5000</v>
      </c>
      <c r="J142" s="164">
        <f>J143</f>
        <v>5000</v>
      </c>
    </row>
    <row r="143" spans="1:10" ht="31.5" x14ac:dyDescent="0.25">
      <c r="A143" s="169" t="s">
        <v>220</v>
      </c>
      <c r="B143" s="160" t="s">
        <v>72</v>
      </c>
      <c r="C143" s="160" t="s">
        <v>90</v>
      </c>
      <c r="D143" s="160" t="s">
        <v>66</v>
      </c>
      <c r="E143" s="161">
        <v>2</v>
      </c>
      <c r="F143" s="160" t="s">
        <v>68</v>
      </c>
      <c r="G143" s="160" t="s">
        <v>221</v>
      </c>
      <c r="H143" s="161"/>
      <c r="I143" s="164">
        <f>I144</f>
        <v>5000</v>
      </c>
      <c r="J143" s="164">
        <f>J144</f>
        <v>5000</v>
      </c>
    </row>
    <row r="144" spans="1:10" ht="31.5" x14ac:dyDescent="0.25">
      <c r="A144" s="36" t="s">
        <v>75</v>
      </c>
      <c r="B144" s="160" t="s">
        <v>72</v>
      </c>
      <c r="C144" s="160" t="s">
        <v>90</v>
      </c>
      <c r="D144" s="160" t="s">
        <v>66</v>
      </c>
      <c r="E144" s="161">
        <v>2</v>
      </c>
      <c r="F144" s="160" t="s">
        <v>68</v>
      </c>
      <c r="G144" s="160" t="s">
        <v>221</v>
      </c>
      <c r="H144" s="161">
        <v>240</v>
      </c>
      <c r="I144" s="164">
        <f>'Прил 7'!J131</f>
        <v>5000</v>
      </c>
      <c r="J144" s="164">
        <f>'Прил 7'!K131</f>
        <v>5000</v>
      </c>
    </row>
    <row r="145" spans="1:10" ht="63" x14ac:dyDescent="0.25">
      <c r="A145" s="36" t="s">
        <v>222</v>
      </c>
      <c r="B145" s="160" t="s">
        <v>72</v>
      </c>
      <c r="C145" s="160" t="s">
        <v>90</v>
      </c>
      <c r="D145" s="160" t="s">
        <v>66</v>
      </c>
      <c r="E145" s="161">
        <v>3</v>
      </c>
      <c r="F145" s="160" t="s">
        <v>68</v>
      </c>
      <c r="G145" s="160" t="s">
        <v>69</v>
      </c>
      <c r="H145" s="161"/>
      <c r="I145" s="164">
        <f>I146</f>
        <v>352878.6</v>
      </c>
      <c r="J145" s="164">
        <f>J146</f>
        <v>345978.6</v>
      </c>
    </row>
    <row r="146" spans="1:10" ht="47.25" x14ac:dyDescent="0.25">
      <c r="A146" s="36" t="s">
        <v>223</v>
      </c>
      <c r="B146" s="160" t="s">
        <v>72</v>
      </c>
      <c r="C146" s="160" t="s">
        <v>90</v>
      </c>
      <c r="D146" s="160" t="s">
        <v>66</v>
      </c>
      <c r="E146" s="161">
        <v>3</v>
      </c>
      <c r="F146" s="160" t="s">
        <v>68</v>
      </c>
      <c r="G146" s="160" t="s">
        <v>224</v>
      </c>
      <c r="H146" s="161"/>
      <c r="I146" s="164">
        <f>I147</f>
        <v>352878.6</v>
      </c>
      <c r="J146" s="164">
        <f>J147</f>
        <v>345978.6</v>
      </c>
    </row>
    <row r="147" spans="1:10" ht="31.5" x14ac:dyDescent="0.25">
      <c r="A147" s="36" t="s">
        <v>75</v>
      </c>
      <c r="B147" s="160" t="s">
        <v>72</v>
      </c>
      <c r="C147" s="160" t="s">
        <v>90</v>
      </c>
      <c r="D147" s="160" t="s">
        <v>66</v>
      </c>
      <c r="E147" s="161">
        <v>3</v>
      </c>
      <c r="F147" s="160" t="s">
        <v>68</v>
      </c>
      <c r="G147" s="160" t="s">
        <v>224</v>
      </c>
      <c r="H147" s="161">
        <v>240</v>
      </c>
      <c r="I147" s="164">
        <f>'Прил 7'!J134</f>
        <v>352878.6</v>
      </c>
      <c r="J147" s="164">
        <f>'Прил 7'!K134</f>
        <v>345978.6</v>
      </c>
    </row>
    <row r="148" spans="1:10" x14ac:dyDescent="0.25">
      <c r="A148" s="36" t="s">
        <v>228</v>
      </c>
      <c r="B148" s="160" t="s">
        <v>72</v>
      </c>
      <c r="C148" s="160" t="s">
        <v>90</v>
      </c>
      <c r="D148" s="160" t="s">
        <v>66</v>
      </c>
      <c r="E148" s="161">
        <v>4</v>
      </c>
      <c r="F148" s="160" t="s">
        <v>68</v>
      </c>
      <c r="G148" s="160" t="s">
        <v>69</v>
      </c>
      <c r="H148" s="161"/>
      <c r="I148" s="164">
        <f t="shared" ref="I148:J149" si="8">I149</f>
        <v>100000</v>
      </c>
      <c r="J148" s="164">
        <f t="shared" si="8"/>
        <v>100000</v>
      </c>
    </row>
    <row r="149" spans="1:10" x14ac:dyDescent="0.25">
      <c r="A149" s="36" t="s">
        <v>228</v>
      </c>
      <c r="B149" s="160" t="s">
        <v>72</v>
      </c>
      <c r="C149" s="160" t="s">
        <v>90</v>
      </c>
      <c r="D149" s="160" t="s">
        <v>66</v>
      </c>
      <c r="E149" s="161">
        <v>4</v>
      </c>
      <c r="F149" s="160" t="s">
        <v>68</v>
      </c>
      <c r="G149" s="160" t="s">
        <v>229</v>
      </c>
      <c r="H149" s="161"/>
      <c r="I149" s="164">
        <f t="shared" si="8"/>
        <v>100000</v>
      </c>
      <c r="J149" s="164">
        <f t="shared" si="8"/>
        <v>100000</v>
      </c>
    </row>
    <row r="150" spans="1:10" ht="31.5" x14ac:dyDescent="0.25">
      <c r="A150" s="36" t="s">
        <v>75</v>
      </c>
      <c r="B150" s="160" t="s">
        <v>72</v>
      </c>
      <c r="C150" s="160" t="s">
        <v>90</v>
      </c>
      <c r="D150" s="160" t="s">
        <v>66</v>
      </c>
      <c r="E150" s="161">
        <v>4</v>
      </c>
      <c r="F150" s="160" t="s">
        <v>68</v>
      </c>
      <c r="G150" s="160" t="s">
        <v>229</v>
      </c>
      <c r="H150" s="161">
        <v>240</v>
      </c>
      <c r="I150" s="164">
        <f>'Прил 7'!J137</f>
        <v>100000</v>
      </c>
      <c r="J150" s="164">
        <f>'Прил 7'!K137</f>
        <v>100000</v>
      </c>
    </row>
    <row r="151" spans="1:10" ht="31.5" x14ac:dyDescent="0.25">
      <c r="A151" s="36" t="s">
        <v>225</v>
      </c>
      <c r="B151" s="160" t="s">
        <v>72</v>
      </c>
      <c r="C151" s="160" t="s">
        <v>90</v>
      </c>
      <c r="D151" s="160">
        <v>97</v>
      </c>
      <c r="E151" s="161">
        <v>0</v>
      </c>
      <c r="F151" s="160" t="s">
        <v>68</v>
      </c>
      <c r="G151" s="160" t="s">
        <v>69</v>
      </c>
      <c r="H151" s="161"/>
      <c r="I151" s="164">
        <f t="shared" ref="I151:J153" si="9">I152</f>
        <v>644700</v>
      </c>
      <c r="J151" s="164">
        <f t="shared" si="9"/>
        <v>0</v>
      </c>
    </row>
    <row r="152" spans="1:10" ht="63" x14ac:dyDescent="0.25">
      <c r="A152" s="36" t="s">
        <v>152</v>
      </c>
      <c r="B152" s="160" t="s">
        <v>72</v>
      </c>
      <c r="C152" s="160" t="s">
        <v>90</v>
      </c>
      <c r="D152" s="160">
        <v>97</v>
      </c>
      <c r="E152" s="161">
        <v>2</v>
      </c>
      <c r="F152" s="160" t="s">
        <v>68</v>
      </c>
      <c r="G152" s="160" t="s">
        <v>69</v>
      </c>
      <c r="H152" s="161"/>
      <c r="I152" s="164">
        <f>I153+I155</f>
        <v>644700</v>
      </c>
      <c r="J152" s="164">
        <f>J153+J155</f>
        <v>0</v>
      </c>
    </row>
    <row r="153" spans="1:10" ht="63" x14ac:dyDescent="0.25">
      <c r="A153" s="36" t="s">
        <v>226</v>
      </c>
      <c r="B153" s="160" t="s">
        <v>72</v>
      </c>
      <c r="C153" s="160" t="s">
        <v>90</v>
      </c>
      <c r="D153" s="160" t="s">
        <v>154</v>
      </c>
      <c r="E153" s="161">
        <v>2</v>
      </c>
      <c r="F153" s="160" t="s">
        <v>68</v>
      </c>
      <c r="G153" s="160" t="s">
        <v>227</v>
      </c>
      <c r="H153" s="161"/>
      <c r="I153" s="164">
        <f t="shared" si="9"/>
        <v>34100</v>
      </c>
      <c r="J153" s="164">
        <f t="shared" si="9"/>
        <v>0</v>
      </c>
    </row>
    <row r="154" spans="1:10" x14ac:dyDescent="0.25">
      <c r="A154" s="166" t="s">
        <v>157</v>
      </c>
      <c r="B154" s="160" t="s">
        <v>72</v>
      </c>
      <c r="C154" s="160" t="s">
        <v>90</v>
      </c>
      <c r="D154" s="160" t="s">
        <v>154</v>
      </c>
      <c r="E154" s="161">
        <v>2</v>
      </c>
      <c r="F154" s="160" t="s">
        <v>68</v>
      </c>
      <c r="G154" s="160" t="s">
        <v>227</v>
      </c>
      <c r="H154" s="161">
        <v>540</v>
      </c>
      <c r="I154" s="164">
        <f>'Прил 7'!J141</f>
        <v>34100</v>
      </c>
      <c r="J154" s="164">
        <f>'Прил 7'!K141</f>
        <v>0</v>
      </c>
    </row>
    <row r="155" spans="1:10" ht="141.75" x14ac:dyDescent="0.25">
      <c r="A155" s="45" t="s">
        <v>408</v>
      </c>
      <c r="B155" s="126" t="s">
        <v>72</v>
      </c>
      <c r="C155" s="126" t="s">
        <v>90</v>
      </c>
      <c r="D155" s="126" t="s">
        <v>154</v>
      </c>
      <c r="E155" s="127">
        <v>2</v>
      </c>
      <c r="F155" s="126" t="s">
        <v>68</v>
      </c>
      <c r="G155" s="126" t="s">
        <v>409</v>
      </c>
      <c r="H155" s="127"/>
      <c r="I155" s="164">
        <f t="shared" ref="I155:J155" si="10">I156</f>
        <v>610600</v>
      </c>
      <c r="J155" s="164">
        <f t="shared" si="10"/>
        <v>0</v>
      </c>
    </row>
    <row r="156" spans="1:10" x14ac:dyDescent="0.25">
      <c r="A156" s="48" t="s">
        <v>157</v>
      </c>
      <c r="B156" s="126" t="s">
        <v>72</v>
      </c>
      <c r="C156" s="126" t="s">
        <v>90</v>
      </c>
      <c r="D156" s="126" t="s">
        <v>154</v>
      </c>
      <c r="E156" s="127">
        <v>2</v>
      </c>
      <c r="F156" s="126" t="s">
        <v>68</v>
      </c>
      <c r="G156" s="126" t="s">
        <v>409</v>
      </c>
      <c r="H156" s="127">
        <v>540</v>
      </c>
      <c r="I156" s="164">
        <f>'Прил 7'!J143</f>
        <v>610600</v>
      </c>
      <c r="J156" s="164">
        <f>'Прил 7'!K143</f>
        <v>0</v>
      </c>
    </row>
    <row r="157" spans="1:10" x14ac:dyDescent="0.25">
      <c r="A157" s="167" t="s">
        <v>111</v>
      </c>
      <c r="B157" s="160" t="s">
        <v>83</v>
      </c>
      <c r="C157" s="161" t="s">
        <v>22</v>
      </c>
      <c r="D157" s="160"/>
      <c r="E157" s="161"/>
      <c r="F157" s="160"/>
      <c r="G157" s="160"/>
      <c r="H157" s="161"/>
      <c r="I157" s="164">
        <f>I158+I173+I178</f>
        <v>31812268.800000001</v>
      </c>
      <c r="J157" s="164">
        <f>J158+J173+J178</f>
        <v>31857495.420000002</v>
      </c>
    </row>
    <row r="158" spans="1:10" x14ac:dyDescent="0.25">
      <c r="A158" s="163" t="s">
        <v>114</v>
      </c>
      <c r="B158" s="160" t="s">
        <v>83</v>
      </c>
      <c r="C158" s="160" t="s">
        <v>102</v>
      </c>
      <c r="D158" s="160"/>
      <c r="E158" s="161"/>
      <c r="F158" s="160"/>
      <c r="G158" s="160"/>
      <c r="H158" s="161"/>
      <c r="I158" s="164">
        <f>I159</f>
        <v>31782268.800000001</v>
      </c>
      <c r="J158" s="164">
        <f>J159</f>
        <v>31827495.420000002</v>
      </c>
    </row>
    <row r="159" spans="1:10" ht="47.25" x14ac:dyDescent="0.25">
      <c r="A159" s="163" t="s">
        <v>230</v>
      </c>
      <c r="B159" s="160" t="s">
        <v>83</v>
      </c>
      <c r="C159" s="160" t="s">
        <v>102</v>
      </c>
      <c r="D159" s="160" t="s">
        <v>72</v>
      </c>
      <c r="E159" s="161">
        <v>0</v>
      </c>
      <c r="F159" s="160" t="s">
        <v>68</v>
      </c>
      <c r="G159" s="160" t="s">
        <v>69</v>
      </c>
      <c r="H159" s="161"/>
      <c r="I159" s="164">
        <f>I160</f>
        <v>31782268.800000001</v>
      </c>
      <c r="J159" s="164">
        <f>J160</f>
        <v>31827495.420000002</v>
      </c>
    </row>
    <row r="160" spans="1:10" ht="63" x14ac:dyDescent="0.25">
      <c r="A160" s="36" t="s">
        <v>231</v>
      </c>
      <c r="B160" s="160" t="s">
        <v>83</v>
      </c>
      <c r="C160" s="160" t="s">
        <v>102</v>
      </c>
      <c r="D160" s="160" t="s">
        <v>72</v>
      </c>
      <c r="E160" s="161">
        <v>1</v>
      </c>
      <c r="F160" s="160" t="s">
        <v>68</v>
      </c>
      <c r="G160" s="160" t="s">
        <v>69</v>
      </c>
      <c r="H160" s="161"/>
      <c r="I160" s="164">
        <f>I161+I163+I165+I167+I171+I169</f>
        <v>31782268.800000001</v>
      </c>
      <c r="J160" s="164">
        <f>J161+J163+J165+J167+J171+J169</f>
        <v>31827495.420000002</v>
      </c>
    </row>
    <row r="161" spans="1:10" x14ac:dyDescent="0.25">
      <c r="A161" s="36" t="s">
        <v>232</v>
      </c>
      <c r="B161" s="160" t="s">
        <v>83</v>
      </c>
      <c r="C161" s="160" t="s">
        <v>102</v>
      </c>
      <c r="D161" s="160" t="s">
        <v>72</v>
      </c>
      <c r="E161" s="161">
        <v>1</v>
      </c>
      <c r="F161" s="160" t="s">
        <v>68</v>
      </c>
      <c r="G161" s="160" t="s">
        <v>233</v>
      </c>
      <c r="H161" s="161"/>
      <c r="I161" s="164">
        <f>I162</f>
        <v>20869004.309999999</v>
      </c>
      <c r="J161" s="164">
        <f>J162</f>
        <v>20479700.280000001</v>
      </c>
    </row>
    <row r="162" spans="1:10" ht="31.5" x14ac:dyDescent="0.25">
      <c r="A162" s="36" t="s">
        <v>75</v>
      </c>
      <c r="B162" s="160" t="s">
        <v>83</v>
      </c>
      <c r="C162" s="160" t="s">
        <v>102</v>
      </c>
      <c r="D162" s="160" t="s">
        <v>72</v>
      </c>
      <c r="E162" s="161">
        <v>1</v>
      </c>
      <c r="F162" s="160" t="s">
        <v>68</v>
      </c>
      <c r="G162" s="160" t="s">
        <v>233</v>
      </c>
      <c r="H162" s="161">
        <v>240</v>
      </c>
      <c r="I162" s="164">
        <f>'Прил 7'!J149</f>
        <v>20869004.309999999</v>
      </c>
      <c r="J162" s="164">
        <f>'Прил 7'!K149</f>
        <v>20479700.280000001</v>
      </c>
    </row>
    <row r="163" spans="1:10" hidden="1" x14ac:dyDescent="0.25">
      <c r="A163" s="36" t="s">
        <v>234</v>
      </c>
      <c r="B163" s="160" t="s">
        <v>83</v>
      </c>
      <c r="C163" s="160" t="s">
        <v>102</v>
      </c>
      <c r="D163" s="160" t="s">
        <v>72</v>
      </c>
      <c r="E163" s="161">
        <v>1</v>
      </c>
      <c r="F163" s="160" t="s">
        <v>68</v>
      </c>
      <c r="G163" s="160" t="s">
        <v>235</v>
      </c>
      <c r="H163" s="161"/>
      <c r="I163" s="164">
        <f>I164</f>
        <v>0</v>
      </c>
      <c r="J163" s="164">
        <f>J164</f>
        <v>0</v>
      </c>
    </row>
    <row r="164" spans="1:10" ht="31.5" hidden="1" x14ac:dyDescent="0.25">
      <c r="A164" s="36" t="s">
        <v>75</v>
      </c>
      <c r="B164" s="160" t="s">
        <v>83</v>
      </c>
      <c r="C164" s="160" t="s">
        <v>102</v>
      </c>
      <c r="D164" s="160" t="s">
        <v>72</v>
      </c>
      <c r="E164" s="161">
        <v>1</v>
      </c>
      <c r="F164" s="160" t="s">
        <v>68</v>
      </c>
      <c r="G164" s="160" t="s">
        <v>235</v>
      </c>
      <c r="H164" s="161">
        <v>240</v>
      </c>
      <c r="I164" s="164"/>
      <c r="J164" s="164"/>
    </row>
    <row r="165" spans="1:10" hidden="1" x14ac:dyDescent="0.25">
      <c r="A165" s="36" t="s">
        <v>236</v>
      </c>
      <c r="B165" s="160" t="s">
        <v>83</v>
      </c>
      <c r="C165" s="160" t="s">
        <v>102</v>
      </c>
      <c r="D165" s="160" t="s">
        <v>72</v>
      </c>
      <c r="E165" s="161">
        <v>1</v>
      </c>
      <c r="F165" s="160" t="s">
        <v>68</v>
      </c>
      <c r="G165" s="160" t="s">
        <v>237</v>
      </c>
      <c r="H165" s="161"/>
      <c r="I165" s="164">
        <f>I166</f>
        <v>0</v>
      </c>
      <c r="J165" s="164">
        <f>J166</f>
        <v>0</v>
      </c>
    </row>
    <row r="166" spans="1:10" ht="31.5" hidden="1" x14ac:dyDescent="0.25">
      <c r="A166" s="36" t="s">
        <v>75</v>
      </c>
      <c r="B166" s="160" t="s">
        <v>83</v>
      </c>
      <c r="C166" s="160" t="s">
        <v>102</v>
      </c>
      <c r="D166" s="160" t="s">
        <v>72</v>
      </c>
      <c r="E166" s="161">
        <v>1</v>
      </c>
      <c r="F166" s="160" t="s">
        <v>68</v>
      </c>
      <c r="G166" s="160" t="s">
        <v>237</v>
      </c>
      <c r="H166" s="161">
        <v>240</v>
      </c>
      <c r="I166" s="164"/>
      <c r="J166" s="164"/>
    </row>
    <row r="167" spans="1:10" ht="31.5" x14ac:dyDescent="0.25">
      <c r="A167" s="36" t="s">
        <v>238</v>
      </c>
      <c r="B167" s="160" t="s">
        <v>83</v>
      </c>
      <c r="C167" s="160" t="s">
        <v>102</v>
      </c>
      <c r="D167" s="160" t="s">
        <v>72</v>
      </c>
      <c r="E167" s="161">
        <v>1</v>
      </c>
      <c r="F167" s="160" t="s">
        <v>68</v>
      </c>
      <c r="G167" s="160" t="s">
        <v>239</v>
      </c>
      <c r="H167" s="161"/>
      <c r="I167" s="164">
        <f>I168</f>
        <v>50000</v>
      </c>
      <c r="J167" s="164">
        <f>J168</f>
        <v>50000</v>
      </c>
    </row>
    <row r="168" spans="1:10" ht="31.5" x14ac:dyDescent="0.25">
      <c r="A168" s="36" t="s">
        <v>75</v>
      </c>
      <c r="B168" s="160" t="s">
        <v>83</v>
      </c>
      <c r="C168" s="160" t="s">
        <v>102</v>
      </c>
      <c r="D168" s="160" t="s">
        <v>72</v>
      </c>
      <c r="E168" s="161">
        <v>1</v>
      </c>
      <c r="F168" s="160" t="s">
        <v>68</v>
      </c>
      <c r="G168" s="160" t="s">
        <v>239</v>
      </c>
      <c r="H168" s="161">
        <v>240</v>
      </c>
      <c r="I168" s="164">
        <f>'Прил 7'!J155</f>
        <v>50000</v>
      </c>
      <c r="J168" s="164">
        <f>'Прил 7'!K155</f>
        <v>50000</v>
      </c>
    </row>
    <row r="169" spans="1:10" x14ac:dyDescent="0.25">
      <c r="A169" s="36" t="s">
        <v>240</v>
      </c>
      <c r="B169" s="160" t="s">
        <v>83</v>
      </c>
      <c r="C169" s="160" t="s">
        <v>102</v>
      </c>
      <c r="D169" s="160" t="s">
        <v>72</v>
      </c>
      <c r="E169" s="161">
        <v>1</v>
      </c>
      <c r="F169" s="160" t="s">
        <v>68</v>
      </c>
      <c r="G169" s="160" t="s">
        <v>241</v>
      </c>
      <c r="H169" s="161"/>
      <c r="I169" s="164">
        <f>I170</f>
        <v>7748461.4800000004</v>
      </c>
      <c r="J169" s="164">
        <f>J170</f>
        <v>8058400</v>
      </c>
    </row>
    <row r="170" spans="1:10" ht="31.5" x14ac:dyDescent="0.25">
      <c r="A170" s="36" t="s">
        <v>75</v>
      </c>
      <c r="B170" s="160" t="s">
        <v>83</v>
      </c>
      <c r="C170" s="160" t="s">
        <v>102</v>
      </c>
      <c r="D170" s="160" t="s">
        <v>72</v>
      </c>
      <c r="E170" s="161">
        <v>1</v>
      </c>
      <c r="F170" s="160" t="s">
        <v>68</v>
      </c>
      <c r="G170" s="160" t="s">
        <v>241</v>
      </c>
      <c r="H170" s="161">
        <v>240</v>
      </c>
      <c r="I170" s="164">
        <f>'Прил 7'!J157</f>
        <v>7748461.4800000004</v>
      </c>
      <c r="J170" s="164">
        <f>'Прил 7'!K157</f>
        <v>8058400</v>
      </c>
    </row>
    <row r="171" spans="1:10" ht="31.5" x14ac:dyDescent="0.25">
      <c r="A171" s="36" t="s">
        <v>244</v>
      </c>
      <c r="B171" s="160" t="s">
        <v>83</v>
      </c>
      <c r="C171" s="160" t="s">
        <v>102</v>
      </c>
      <c r="D171" s="160" t="s">
        <v>72</v>
      </c>
      <c r="E171" s="161">
        <v>1</v>
      </c>
      <c r="F171" s="160" t="s">
        <v>68</v>
      </c>
      <c r="G171" s="160" t="s">
        <v>245</v>
      </c>
      <c r="H171" s="161"/>
      <c r="I171" s="164">
        <f>I172</f>
        <v>3114803.01</v>
      </c>
      <c r="J171" s="164">
        <f>J172</f>
        <v>3239395.14</v>
      </c>
    </row>
    <row r="172" spans="1:10" ht="31.5" x14ac:dyDescent="0.25">
      <c r="A172" s="36" t="s">
        <v>75</v>
      </c>
      <c r="B172" s="160" t="s">
        <v>83</v>
      </c>
      <c r="C172" s="160" t="s">
        <v>102</v>
      </c>
      <c r="D172" s="160" t="s">
        <v>72</v>
      </c>
      <c r="E172" s="161">
        <v>1</v>
      </c>
      <c r="F172" s="160" t="s">
        <v>68</v>
      </c>
      <c r="G172" s="160" t="s">
        <v>245</v>
      </c>
      <c r="H172" s="161">
        <v>240</v>
      </c>
      <c r="I172" s="164">
        <f>'Прил 7'!J159</f>
        <v>3114803.01</v>
      </c>
      <c r="J172" s="164">
        <f>'Прил 7'!K159</f>
        <v>3239395.14</v>
      </c>
    </row>
    <row r="173" spans="1:10" hidden="1" x14ac:dyDescent="0.25">
      <c r="A173" s="36" t="s">
        <v>115</v>
      </c>
      <c r="B173" s="160" t="s">
        <v>83</v>
      </c>
      <c r="C173" s="160" t="s">
        <v>90</v>
      </c>
      <c r="D173" s="160"/>
      <c r="E173" s="160"/>
      <c r="F173" s="160"/>
      <c r="G173" s="160"/>
      <c r="H173" s="161" t="s">
        <v>135</v>
      </c>
      <c r="I173" s="164">
        <f t="shared" ref="I173:J176" si="11">I174</f>
        <v>0</v>
      </c>
      <c r="J173" s="164">
        <f t="shared" si="11"/>
        <v>0</v>
      </c>
    </row>
    <row r="174" spans="1:10" hidden="1" x14ac:dyDescent="0.25">
      <c r="A174" s="36" t="s">
        <v>80</v>
      </c>
      <c r="B174" s="160" t="s">
        <v>83</v>
      </c>
      <c r="C174" s="160" t="s">
        <v>90</v>
      </c>
      <c r="D174" s="160" t="s">
        <v>81</v>
      </c>
      <c r="E174" s="161">
        <v>0</v>
      </c>
      <c r="F174" s="160" t="s">
        <v>68</v>
      </c>
      <c r="G174" s="160" t="s">
        <v>69</v>
      </c>
      <c r="H174" s="161"/>
      <c r="I174" s="164">
        <f t="shared" si="11"/>
        <v>0</v>
      </c>
      <c r="J174" s="164">
        <f t="shared" si="11"/>
        <v>0</v>
      </c>
    </row>
    <row r="175" spans="1:10" hidden="1" x14ac:dyDescent="0.25">
      <c r="A175" s="36" t="s">
        <v>207</v>
      </c>
      <c r="B175" s="160" t="s">
        <v>83</v>
      </c>
      <c r="C175" s="160" t="s">
        <v>90</v>
      </c>
      <c r="D175" s="160" t="s">
        <v>81</v>
      </c>
      <c r="E175" s="161">
        <v>9</v>
      </c>
      <c r="F175" s="160" t="s">
        <v>68</v>
      </c>
      <c r="G175" s="160" t="s">
        <v>69</v>
      </c>
      <c r="H175" s="161"/>
      <c r="I175" s="164">
        <f t="shared" si="11"/>
        <v>0</v>
      </c>
      <c r="J175" s="164">
        <f t="shared" si="11"/>
        <v>0</v>
      </c>
    </row>
    <row r="176" spans="1:10" ht="31.5" hidden="1" x14ac:dyDescent="0.25">
      <c r="A176" s="36" t="s">
        <v>246</v>
      </c>
      <c r="B176" s="160" t="s">
        <v>83</v>
      </c>
      <c r="C176" s="160" t="s">
        <v>90</v>
      </c>
      <c r="D176" s="160" t="s">
        <v>81</v>
      </c>
      <c r="E176" s="161">
        <v>9</v>
      </c>
      <c r="F176" s="160" t="s">
        <v>68</v>
      </c>
      <c r="G176" s="160" t="s">
        <v>116</v>
      </c>
      <c r="H176" s="161"/>
      <c r="I176" s="164">
        <f t="shared" si="11"/>
        <v>0</v>
      </c>
      <c r="J176" s="164">
        <f t="shared" si="11"/>
        <v>0</v>
      </c>
    </row>
    <row r="177" spans="1:10" ht="31.5" hidden="1" x14ac:dyDescent="0.25">
      <c r="A177" s="36" t="s">
        <v>75</v>
      </c>
      <c r="B177" s="160" t="s">
        <v>83</v>
      </c>
      <c r="C177" s="160" t="s">
        <v>90</v>
      </c>
      <c r="D177" s="160" t="s">
        <v>81</v>
      </c>
      <c r="E177" s="161">
        <v>9</v>
      </c>
      <c r="F177" s="160" t="s">
        <v>68</v>
      </c>
      <c r="G177" s="160" t="s">
        <v>116</v>
      </c>
      <c r="H177" s="161">
        <v>240</v>
      </c>
      <c r="I177" s="164"/>
      <c r="J177" s="164"/>
    </row>
    <row r="178" spans="1:10" x14ac:dyDescent="0.25">
      <c r="A178" s="163" t="s">
        <v>117</v>
      </c>
      <c r="B178" s="160" t="s">
        <v>83</v>
      </c>
      <c r="C178" s="160" t="s">
        <v>97</v>
      </c>
      <c r="D178" s="160"/>
      <c r="E178" s="160"/>
      <c r="F178" s="160"/>
      <c r="G178" s="160"/>
      <c r="H178" s="161" t="s">
        <v>135</v>
      </c>
      <c r="I178" s="162">
        <f t="shared" ref="I178:J180" si="12">I179</f>
        <v>30000</v>
      </c>
      <c r="J178" s="162">
        <f t="shared" si="12"/>
        <v>30000</v>
      </c>
    </row>
    <row r="179" spans="1:10" ht="63" x14ac:dyDescent="0.25">
      <c r="A179" s="36" t="s">
        <v>247</v>
      </c>
      <c r="B179" s="160" t="s">
        <v>83</v>
      </c>
      <c r="C179" s="160" t="s">
        <v>97</v>
      </c>
      <c r="D179" s="160" t="s">
        <v>83</v>
      </c>
      <c r="E179" s="161">
        <v>0</v>
      </c>
      <c r="F179" s="160" t="s">
        <v>68</v>
      </c>
      <c r="G179" s="160" t="s">
        <v>69</v>
      </c>
      <c r="H179" s="161"/>
      <c r="I179" s="164">
        <f t="shared" si="12"/>
        <v>30000</v>
      </c>
      <c r="J179" s="164">
        <f t="shared" si="12"/>
        <v>30000</v>
      </c>
    </row>
    <row r="180" spans="1:10" x14ac:dyDescent="0.25">
      <c r="A180" s="36" t="s">
        <v>249</v>
      </c>
      <c r="B180" s="160" t="s">
        <v>83</v>
      </c>
      <c r="C180" s="160" t="s">
        <v>97</v>
      </c>
      <c r="D180" s="160" t="s">
        <v>83</v>
      </c>
      <c r="E180" s="161">
        <v>0</v>
      </c>
      <c r="F180" s="160" t="s">
        <v>68</v>
      </c>
      <c r="G180" s="160" t="s">
        <v>250</v>
      </c>
      <c r="H180" s="161"/>
      <c r="I180" s="164">
        <f t="shared" si="12"/>
        <v>30000</v>
      </c>
      <c r="J180" s="164">
        <f t="shared" si="12"/>
        <v>30000</v>
      </c>
    </row>
    <row r="181" spans="1:10" ht="47.25" x14ac:dyDescent="0.25">
      <c r="A181" s="36" t="s">
        <v>248</v>
      </c>
      <c r="B181" s="160" t="s">
        <v>83</v>
      </c>
      <c r="C181" s="160" t="s">
        <v>97</v>
      </c>
      <c r="D181" s="160" t="s">
        <v>83</v>
      </c>
      <c r="E181" s="161">
        <v>0</v>
      </c>
      <c r="F181" s="160" t="s">
        <v>68</v>
      </c>
      <c r="G181" s="160" t="s">
        <v>250</v>
      </c>
      <c r="H181" s="161">
        <v>810</v>
      </c>
      <c r="I181" s="164">
        <f>'Прил 7'!J168</f>
        <v>30000</v>
      </c>
      <c r="J181" s="164">
        <f>'Прил 7'!K168</f>
        <v>30000</v>
      </c>
    </row>
    <row r="182" spans="1:10" x14ac:dyDescent="0.25">
      <c r="A182" s="167" t="s">
        <v>424</v>
      </c>
      <c r="B182" s="160" t="s">
        <v>84</v>
      </c>
      <c r="C182" s="161" t="s">
        <v>22</v>
      </c>
      <c r="D182" s="160"/>
      <c r="E182" s="161"/>
      <c r="F182" s="160"/>
      <c r="G182" s="160"/>
      <c r="H182" s="161"/>
      <c r="I182" s="164">
        <f>I183+I195+I236</f>
        <v>67698123.340000004</v>
      </c>
      <c r="J182" s="164">
        <f>J183+J195+J236</f>
        <v>69344373.659999996</v>
      </c>
    </row>
    <row r="183" spans="1:10" x14ac:dyDescent="0.25">
      <c r="A183" s="163" t="s">
        <v>118</v>
      </c>
      <c r="B183" s="160" t="s">
        <v>84</v>
      </c>
      <c r="C183" s="161" t="s">
        <v>65</v>
      </c>
      <c r="D183" s="160"/>
      <c r="E183" s="161"/>
      <c r="F183" s="160"/>
      <c r="G183" s="160"/>
      <c r="H183" s="161"/>
      <c r="I183" s="164">
        <f>I184+I191</f>
        <v>1231098.04</v>
      </c>
      <c r="J183" s="164">
        <f>J184+J191</f>
        <v>1207476.0900000001</v>
      </c>
    </row>
    <row r="184" spans="1:10" ht="63" x14ac:dyDescent="0.25">
      <c r="A184" s="36" t="s">
        <v>251</v>
      </c>
      <c r="B184" s="160" t="s">
        <v>84</v>
      </c>
      <c r="C184" s="160" t="s">
        <v>65</v>
      </c>
      <c r="D184" s="160" t="s">
        <v>84</v>
      </c>
      <c r="E184" s="161">
        <v>0</v>
      </c>
      <c r="F184" s="160" t="s">
        <v>68</v>
      </c>
      <c r="G184" s="160" t="s">
        <v>69</v>
      </c>
      <c r="H184" s="161"/>
      <c r="I184" s="164">
        <f>I185+I188</f>
        <v>50000</v>
      </c>
      <c r="J184" s="164">
        <f>J185+J188</f>
        <v>50000</v>
      </c>
    </row>
    <row r="185" spans="1:10" ht="31.5" x14ac:dyDescent="0.25">
      <c r="A185" s="36" t="s">
        <v>252</v>
      </c>
      <c r="B185" s="160" t="s">
        <v>84</v>
      </c>
      <c r="C185" s="160" t="s">
        <v>65</v>
      </c>
      <c r="D185" s="160" t="s">
        <v>84</v>
      </c>
      <c r="E185" s="161">
        <v>1</v>
      </c>
      <c r="F185" s="160" t="s">
        <v>68</v>
      </c>
      <c r="G185" s="160" t="s">
        <v>69</v>
      </c>
      <c r="H185" s="161"/>
      <c r="I185" s="164">
        <f>I186</f>
        <v>50000</v>
      </c>
      <c r="J185" s="164">
        <f>J186</f>
        <v>50000</v>
      </c>
    </row>
    <row r="186" spans="1:10" x14ac:dyDescent="0.25">
      <c r="A186" s="36" t="s">
        <v>253</v>
      </c>
      <c r="B186" s="160" t="s">
        <v>84</v>
      </c>
      <c r="C186" s="160" t="s">
        <v>65</v>
      </c>
      <c r="D186" s="160" t="s">
        <v>84</v>
      </c>
      <c r="E186" s="161">
        <v>1</v>
      </c>
      <c r="F186" s="160" t="s">
        <v>68</v>
      </c>
      <c r="G186" s="160" t="s">
        <v>254</v>
      </c>
      <c r="H186" s="161"/>
      <c r="I186" s="164">
        <f>I187</f>
        <v>50000</v>
      </c>
      <c r="J186" s="164">
        <f>J187</f>
        <v>50000</v>
      </c>
    </row>
    <row r="187" spans="1:10" ht="31.5" x14ac:dyDescent="0.25">
      <c r="A187" s="36" t="s">
        <v>75</v>
      </c>
      <c r="B187" s="160" t="s">
        <v>84</v>
      </c>
      <c r="C187" s="160" t="s">
        <v>65</v>
      </c>
      <c r="D187" s="160" t="s">
        <v>84</v>
      </c>
      <c r="E187" s="161">
        <v>1</v>
      </c>
      <c r="F187" s="160" t="s">
        <v>68</v>
      </c>
      <c r="G187" s="160" t="s">
        <v>254</v>
      </c>
      <c r="H187" s="161">
        <v>240</v>
      </c>
      <c r="I187" s="164">
        <f>'Прил 7'!J174</f>
        <v>50000</v>
      </c>
      <c r="J187" s="164">
        <f>'Прил 7'!K174</f>
        <v>50000</v>
      </c>
    </row>
    <row r="188" spans="1:10" ht="47.25" hidden="1" x14ac:dyDescent="0.25">
      <c r="A188" s="36" t="s">
        <v>256</v>
      </c>
      <c r="B188" s="160" t="s">
        <v>84</v>
      </c>
      <c r="C188" s="160" t="s">
        <v>65</v>
      </c>
      <c r="D188" s="160" t="s">
        <v>84</v>
      </c>
      <c r="E188" s="161">
        <v>6</v>
      </c>
      <c r="F188" s="160" t="s">
        <v>68</v>
      </c>
      <c r="G188" s="160" t="s">
        <v>69</v>
      </c>
      <c r="H188" s="161"/>
      <c r="I188" s="164">
        <f>I189</f>
        <v>0</v>
      </c>
      <c r="J188" s="164">
        <f>J189</f>
        <v>0</v>
      </c>
    </row>
    <row r="189" spans="1:10" hidden="1" x14ac:dyDescent="0.25">
      <c r="A189" s="36" t="s">
        <v>257</v>
      </c>
      <c r="B189" s="160" t="s">
        <v>84</v>
      </c>
      <c r="C189" s="160" t="s">
        <v>65</v>
      </c>
      <c r="D189" s="160" t="s">
        <v>84</v>
      </c>
      <c r="E189" s="161">
        <v>6</v>
      </c>
      <c r="F189" s="160" t="s">
        <v>68</v>
      </c>
      <c r="G189" s="160" t="s">
        <v>258</v>
      </c>
      <c r="H189" s="161"/>
      <c r="I189" s="164">
        <f>I190</f>
        <v>0</v>
      </c>
      <c r="J189" s="164">
        <f>J190</f>
        <v>0</v>
      </c>
    </row>
    <row r="190" spans="1:10" ht="31.5" hidden="1" x14ac:dyDescent="0.25">
      <c r="A190" s="36" t="s">
        <v>75</v>
      </c>
      <c r="B190" s="160" t="s">
        <v>84</v>
      </c>
      <c r="C190" s="160" t="s">
        <v>65</v>
      </c>
      <c r="D190" s="160" t="s">
        <v>84</v>
      </c>
      <c r="E190" s="161">
        <v>6</v>
      </c>
      <c r="F190" s="160" t="s">
        <v>68</v>
      </c>
      <c r="G190" s="160" t="s">
        <v>258</v>
      </c>
      <c r="H190" s="161">
        <v>240</v>
      </c>
      <c r="I190" s="164">
        <f>'Прил 7'!J177</f>
        <v>0</v>
      </c>
      <c r="J190" s="164">
        <f>'Прил 7'!K177</f>
        <v>0</v>
      </c>
    </row>
    <row r="191" spans="1:10" x14ac:dyDescent="0.25">
      <c r="A191" s="36" t="s">
        <v>80</v>
      </c>
      <c r="B191" s="160" t="s">
        <v>84</v>
      </c>
      <c r="C191" s="161" t="s">
        <v>65</v>
      </c>
      <c r="D191" s="160" t="s">
        <v>81</v>
      </c>
      <c r="E191" s="161">
        <v>0</v>
      </c>
      <c r="F191" s="160" t="s">
        <v>68</v>
      </c>
      <c r="G191" s="160" t="s">
        <v>69</v>
      </c>
      <c r="H191" s="161"/>
      <c r="I191" s="164">
        <f t="shared" ref="I191:J193" si="13">I192</f>
        <v>1181098.04</v>
      </c>
      <c r="J191" s="164">
        <f t="shared" si="13"/>
        <v>1157476.0900000001</v>
      </c>
    </row>
    <row r="192" spans="1:10" x14ac:dyDescent="0.25">
      <c r="A192" s="36" t="s">
        <v>207</v>
      </c>
      <c r="B192" s="160" t="s">
        <v>84</v>
      </c>
      <c r="C192" s="161" t="s">
        <v>65</v>
      </c>
      <c r="D192" s="160" t="s">
        <v>81</v>
      </c>
      <c r="E192" s="161">
        <v>9</v>
      </c>
      <c r="F192" s="160" t="s">
        <v>68</v>
      </c>
      <c r="G192" s="160" t="s">
        <v>69</v>
      </c>
      <c r="H192" s="161"/>
      <c r="I192" s="164">
        <f t="shared" si="13"/>
        <v>1181098.04</v>
      </c>
      <c r="J192" s="164">
        <f t="shared" si="13"/>
        <v>1157476.0900000001</v>
      </c>
    </row>
    <row r="193" spans="1:10" ht="47.25" x14ac:dyDescent="0.25">
      <c r="A193" s="36" t="s">
        <v>259</v>
      </c>
      <c r="B193" s="160" t="s">
        <v>84</v>
      </c>
      <c r="C193" s="161" t="s">
        <v>65</v>
      </c>
      <c r="D193" s="160" t="s">
        <v>81</v>
      </c>
      <c r="E193" s="161">
        <v>9</v>
      </c>
      <c r="F193" s="160" t="s">
        <v>68</v>
      </c>
      <c r="G193" s="160" t="s">
        <v>260</v>
      </c>
      <c r="H193" s="161"/>
      <c r="I193" s="164">
        <f t="shared" si="13"/>
        <v>1181098.04</v>
      </c>
      <c r="J193" s="164">
        <f t="shared" si="13"/>
        <v>1157476.0900000001</v>
      </c>
    </row>
    <row r="194" spans="1:10" ht="31.5" x14ac:dyDescent="0.25">
      <c r="A194" s="36" t="s">
        <v>75</v>
      </c>
      <c r="B194" s="160" t="s">
        <v>84</v>
      </c>
      <c r="C194" s="161" t="s">
        <v>65</v>
      </c>
      <c r="D194" s="160" t="s">
        <v>81</v>
      </c>
      <c r="E194" s="161">
        <v>9</v>
      </c>
      <c r="F194" s="160" t="s">
        <v>68</v>
      </c>
      <c r="G194" s="160" t="s">
        <v>260</v>
      </c>
      <c r="H194" s="161">
        <v>240</v>
      </c>
      <c r="I194" s="164">
        <f>'Прил 7'!J181</f>
        <v>1181098.04</v>
      </c>
      <c r="J194" s="164">
        <f>'Прил 7'!K181</f>
        <v>1157476.0900000001</v>
      </c>
    </row>
    <row r="195" spans="1:10" x14ac:dyDescent="0.25">
      <c r="A195" s="163" t="s">
        <v>119</v>
      </c>
      <c r="B195" s="160" t="s">
        <v>84</v>
      </c>
      <c r="C195" s="161" t="s">
        <v>72</v>
      </c>
      <c r="D195" s="160" t="s">
        <v>134</v>
      </c>
      <c r="E195" s="161"/>
      <c r="F195" s="160"/>
      <c r="G195" s="160"/>
      <c r="H195" s="161"/>
      <c r="I195" s="162">
        <f>I196+I221+I232</f>
        <v>40443242.550000004</v>
      </c>
      <c r="J195" s="162">
        <f>J196+J221+J232</f>
        <v>41258336.310000002</v>
      </c>
    </row>
    <row r="196" spans="1:10" ht="47.25" x14ac:dyDescent="0.25">
      <c r="A196" s="163" t="s">
        <v>230</v>
      </c>
      <c r="B196" s="160" t="s">
        <v>84</v>
      </c>
      <c r="C196" s="160" t="s">
        <v>72</v>
      </c>
      <c r="D196" s="160" t="s">
        <v>72</v>
      </c>
      <c r="E196" s="161">
        <v>0</v>
      </c>
      <c r="F196" s="160" t="s">
        <v>68</v>
      </c>
      <c r="G196" s="160" t="s">
        <v>69</v>
      </c>
      <c r="H196" s="161"/>
      <c r="I196" s="164">
        <f>I197+I204</f>
        <v>39892549.310000002</v>
      </c>
      <c r="J196" s="164">
        <f>J197+J204</f>
        <v>41258336.310000002</v>
      </c>
    </row>
    <row r="197" spans="1:10" ht="31.5" x14ac:dyDescent="0.25">
      <c r="A197" s="36" t="s">
        <v>261</v>
      </c>
      <c r="B197" s="160" t="s">
        <v>84</v>
      </c>
      <c r="C197" s="160" t="s">
        <v>72</v>
      </c>
      <c r="D197" s="160" t="s">
        <v>72</v>
      </c>
      <c r="E197" s="161">
        <v>2</v>
      </c>
      <c r="F197" s="160" t="s">
        <v>68</v>
      </c>
      <c r="G197" s="160" t="s">
        <v>69</v>
      </c>
      <c r="H197" s="161"/>
      <c r="I197" s="164">
        <f>I198+I200+I202</f>
        <v>9428078.8399999999</v>
      </c>
      <c r="J197" s="164">
        <f>J198+J200+J202</f>
        <v>9539500.0300000012</v>
      </c>
    </row>
    <row r="198" spans="1:10" hidden="1" x14ac:dyDescent="0.25">
      <c r="A198" s="36" t="s">
        <v>262</v>
      </c>
      <c r="B198" s="160" t="s">
        <v>84</v>
      </c>
      <c r="C198" s="160" t="s">
        <v>72</v>
      </c>
      <c r="D198" s="160" t="s">
        <v>72</v>
      </c>
      <c r="E198" s="161">
        <v>2</v>
      </c>
      <c r="F198" s="160" t="s">
        <v>68</v>
      </c>
      <c r="G198" s="160" t="s">
        <v>255</v>
      </c>
      <c r="H198" s="161"/>
      <c r="I198" s="164">
        <f>I199</f>
        <v>0</v>
      </c>
      <c r="J198" s="164">
        <f>J199</f>
        <v>0</v>
      </c>
    </row>
    <row r="199" spans="1:10" hidden="1" x14ac:dyDescent="0.25">
      <c r="A199" s="36" t="s">
        <v>101</v>
      </c>
      <c r="B199" s="160" t="s">
        <v>84</v>
      </c>
      <c r="C199" s="160" t="s">
        <v>72</v>
      </c>
      <c r="D199" s="160" t="s">
        <v>72</v>
      </c>
      <c r="E199" s="161">
        <v>2</v>
      </c>
      <c r="F199" s="160" t="s">
        <v>68</v>
      </c>
      <c r="G199" s="160" t="s">
        <v>255</v>
      </c>
      <c r="H199" s="161">
        <v>410</v>
      </c>
      <c r="I199" s="164"/>
      <c r="J199" s="164"/>
    </row>
    <row r="200" spans="1:10" ht="31.5" x14ac:dyDescent="0.25">
      <c r="A200" s="36" t="s">
        <v>263</v>
      </c>
      <c r="B200" s="160" t="s">
        <v>84</v>
      </c>
      <c r="C200" s="160" t="s">
        <v>72</v>
      </c>
      <c r="D200" s="160" t="s">
        <v>72</v>
      </c>
      <c r="E200" s="161">
        <v>2</v>
      </c>
      <c r="F200" s="160" t="s">
        <v>68</v>
      </c>
      <c r="G200" s="160" t="s">
        <v>264</v>
      </c>
      <c r="H200" s="161"/>
      <c r="I200" s="164">
        <f>I201</f>
        <v>7428078.8399999999</v>
      </c>
      <c r="J200" s="164">
        <f>J201</f>
        <v>7539500.0300000003</v>
      </c>
    </row>
    <row r="201" spans="1:10" ht="31.5" x14ac:dyDescent="0.25">
      <c r="A201" s="36" t="s">
        <v>75</v>
      </c>
      <c r="B201" s="160" t="s">
        <v>84</v>
      </c>
      <c r="C201" s="160" t="s">
        <v>72</v>
      </c>
      <c r="D201" s="160" t="s">
        <v>72</v>
      </c>
      <c r="E201" s="161">
        <v>2</v>
      </c>
      <c r="F201" s="160" t="s">
        <v>68</v>
      </c>
      <c r="G201" s="160" t="s">
        <v>264</v>
      </c>
      <c r="H201" s="161">
        <v>240</v>
      </c>
      <c r="I201" s="164">
        <f>'Прил 7'!J188</f>
        <v>7428078.8399999999</v>
      </c>
      <c r="J201" s="164">
        <f>'Прил 7'!K188</f>
        <v>7539500.0300000003</v>
      </c>
    </row>
    <row r="202" spans="1:10" x14ac:dyDescent="0.25">
      <c r="A202" s="36" t="s">
        <v>265</v>
      </c>
      <c r="B202" s="160" t="s">
        <v>84</v>
      </c>
      <c r="C202" s="160" t="s">
        <v>72</v>
      </c>
      <c r="D202" s="160" t="s">
        <v>72</v>
      </c>
      <c r="E202" s="161">
        <v>2</v>
      </c>
      <c r="F202" s="160" t="s">
        <v>68</v>
      </c>
      <c r="G202" s="160" t="s">
        <v>266</v>
      </c>
      <c r="H202" s="161"/>
      <c r="I202" s="164">
        <f>I203</f>
        <v>2000000</v>
      </c>
      <c r="J202" s="164">
        <f>J203</f>
        <v>2000000</v>
      </c>
    </row>
    <row r="203" spans="1:10" ht="31.5" x14ac:dyDescent="0.25">
      <c r="A203" s="36" t="s">
        <v>75</v>
      </c>
      <c r="B203" s="160" t="s">
        <v>84</v>
      </c>
      <c r="C203" s="160" t="s">
        <v>72</v>
      </c>
      <c r="D203" s="160" t="s">
        <v>72</v>
      </c>
      <c r="E203" s="161">
        <v>2</v>
      </c>
      <c r="F203" s="160" t="s">
        <v>68</v>
      </c>
      <c r="G203" s="160" t="s">
        <v>266</v>
      </c>
      <c r="H203" s="161">
        <v>240</v>
      </c>
      <c r="I203" s="164">
        <f>'Прил 7'!J190</f>
        <v>2000000</v>
      </c>
      <c r="J203" s="164">
        <f>'Прил 7'!K190</f>
        <v>2000000</v>
      </c>
    </row>
    <row r="204" spans="1:10" ht="47.25" x14ac:dyDescent="0.25">
      <c r="A204" s="36" t="s">
        <v>267</v>
      </c>
      <c r="B204" s="160" t="s">
        <v>84</v>
      </c>
      <c r="C204" s="160" t="s">
        <v>72</v>
      </c>
      <c r="D204" s="160" t="s">
        <v>72</v>
      </c>
      <c r="E204" s="161">
        <v>3</v>
      </c>
      <c r="F204" s="160" t="s">
        <v>68</v>
      </c>
      <c r="G204" s="160" t="s">
        <v>69</v>
      </c>
      <c r="H204" s="161"/>
      <c r="I204" s="164">
        <f>I205+I207+I209+I211+I213+I215+I217+I219</f>
        <v>30464470.470000003</v>
      </c>
      <c r="J204" s="164">
        <f>J205+J207+J209+J211+J213+J215+J217+J219</f>
        <v>31718836.279999997</v>
      </c>
    </row>
    <row r="205" spans="1:10" x14ac:dyDescent="0.25">
      <c r="A205" s="36" t="s">
        <v>268</v>
      </c>
      <c r="B205" s="160" t="s">
        <v>84</v>
      </c>
      <c r="C205" s="160" t="s">
        <v>72</v>
      </c>
      <c r="D205" s="160" t="s">
        <v>72</v>
      </c>
      <c r="E205" s="161">
        <v>3</v>
      </c>
      <c r="F205" s="160" t="s">
        <v>68</v>
      </c>
      <c r="G205" s="160" t="s">
        <v>269</v>
      </c>
      <c r="H205" s="161"/>
      <c r="I205" s="164">
        <f>I206</f>
        <v>520000</v>
      </c>
      <c r="J205" s="164">
        <f>J206</f>
        <v>520000</v>
      </c>
    </row>
    <row r="206" spans="1:10" ht="31.5" x14ac:dyDescent="0.25">
      <c r="A206" s="36" t="s">
        <v>75</v>
      </c>
      <c r="B206" s="160" t="s">
        <v>84</v>
      </c>
      <c r="C206" s="160" t="s">
        <v>72</v>
      </c>
      <c r="D206" s="160" t="s">
        <v>72</v>
      </c>
      <c r="E206" s="161">
        <v>3</v>
      </c>
      <c r="F206" s="160" t="s">
        <v>68</v>
      </c>
      <c r="G206" s="160" t="s">
        <v>269</v>
      </c>
      <c r="H206" s="161">
        <v>240</v>
      </c>
      <c r="I206" s="164">
        <f>'Прил 7'!J193</f>
        <v>520000</v>
      </c>
      <c r="J206" s="164">
        <f>'Прил 7'!K193</f>
        <v>520000</v>
      </c>
    </row>
    <row r="207" spans="1:10" x14ac:dyDescent="0.25">
      <c r="A207" s="36" t="s">
        <v>270</v>
      </c>
      <c r="B207" s="160" t="s">
        <v>84</v>
      </c>
      <c r="C207" s="160" t="s">
        <v>72</v>
      </c>
      <c r="D207" s="160" t="s">
        <v>72</v>
      </c>
      <c r="E207" s="161">
        <v>3</v>
      </c>
      <c r="F207" s="160" t="s">
        <v>68</v>
      </c>
      <c r="G207" s="160" t="s">
        <v>271</v>
      </c>
      <c r="H207" s="161"/>
      <c r="I207" s="164">
        <f>I208</f>
        <v>600000</v>
      </c>
      <c r="J207" s="164">
        <f>J208</f>
        <v>600000</v>
      </c>
    </row>
    <row r="208" spans="1:10" ht="31.5" x14ac:dyDescent="0.25">
      <c r="A208" s="36" t="s">
        <v>75</v>
      </c>
      <c r="B208" s="160" t="s">
        <v>84</v>
      </c>
      <c r="C208" s="160" t="s">
        <v>72</v>
      </c>
      <c r="D208" s="160" t="s">
        <v>72</v>
      </c>
      <c r="E208" s="161">
        <v>3</v>
      </c>
      <c r="F208" s="160" t="s">
        <v>68</v>
      </c>
      <c r="G208" s="160" t="s">
        <v>271</v>
      </c>
      <c r="H208" s="161">
        <v>240</v>
      </c>
      <c r="I208" s="164">
        <f>'Прил 7'!J195</f>
        <v>600000</v>
      </c>
      <c r="J208" s="164">
        <f>'Прил 7'!K195</f>
        <v>600000</v>
      </c>
    </row>
    <row r="209" spans="1:10" x14ac:dyDescent="0.25">
      <c r="A209" s="36" t="s">
        <v>272</v>
      </c>
      <c r="B209" s="160" t="s">
        <v>84</v>
      </c>
      <c r="C209" s="160" t="s">
        <v>72</v>
      </c>
      <c r="D209" s="160" t="s">
        <v>72</v>
      </c>
      <c r="E209" s="161">
        <v>3</v>
      </c>
      <c r="F209" s="160" t="s">
        <v>68</v>
      </c>
      <c r="G209" s="161">
        <v>29220</v>
      </c>
      <c r="H209" s="161"/>
      <c r="I209" s="164">
        <f>I210</f>
        <v>2629545.98</v>
      </c>
      <c r="J209" s="164">
        <f>J210</f>
        <v>2682136.9</v>
      </c>
    </row>
    <row r="210" spans="1:10" ht="31.5" x14ac:dyDescent="0.25">
      <c r="A210" s="36" t="s">
        <v>75</v>
      </c>
      <c r="B210" s="160" t="s">
        <v>84</v>
      </c>
      <c r="C210" s="160" t="s">
        <v>72</v>
      </c>
      <c r="D210" s="160" t="s">
        <v>72</v>
      </c>
      <c r="E210" s="161">
        <v>3</v>
      </c>
      <c r="F210" s="160" t="s">
        <v>68</v>
      </c>
      <c r="G210" s="161">
        <v>29220</v>
      </c>
      <c r="H210" s="161">
        <v>240</v>
      </c>
      <c r="I210" s="164">
        <f>'Прил 7'!J197</f>
        <v>2629545.98</v>
      </c>
      <c r="J210" s="164">
        <f>'Прил 7'!K197</f>
        <v>2682136.9</v>
      </c>
    </row>
    <row r="211" spans="1:10" x14ac:dyDescent="0.25">
      <c r="A211" s="36" t="s">
        <v>273</v>
      </c>
      <c r="B211" s="160" t="s">
        <v>84</v>
      </c>
      <c r="C211" s="160" t="s">
        <v>72</v>
      </c>
      <c r="D211" s="160" t="s">
        <v>72</v>
      </c>
      <c r="E211" s="161">
        <v>3</v>
      </c>
      <c r="F211" s="160" t="s">
        <v>68</v>
      </c>
      <c r="G211" s="160" t="s">
        <v>274</v>
      </c>
      <c r="H211" s="161"/>
      <c r="I211" s="164">
        <f>I212</f>
        <v>14342640.890000001</v>
      </c>
      <c r="J211" s="164">
        <f>J212</f>
        <v>15834666.18</v>
      </c>
    </row>
    <row r="212" spans="1:10" ht="31.5" x14ac:dyDescent="0.25">
      <c r="A212" s="36" t="s">
        <v>75</v>
      </c>
      <c r="B212" s="160" t="s">
        <v>84</v>
      </c>
      <c r="C212" s="160" t="s">
        <v>72</v>
      </c>
      <c r="D212" s="160" t="s">
        <v>72</v>
      </c>
      <c r="E212" s="161">
        <v>3</v>
      </c>
      <c r="F212" s="160" t="s">
        <v>68</v>
      </c>
      <c r="G212" s="160" t="s">
        <v>274</v>
      </c>
      <c r="H212" s="161">
        <v>240</v>
      </c>
      <c r="I212" s="164">
        <f>'Прил 7'!J199</f>
        <v>14342640.890000001</v>
      </c>
      <c r="J212" s="164">
        <f>'Прил 7'!K199</f>
        <v>15834666.18</v>
      </c>
    </row>
    <row r="213" spans="1:10" x14ac:dyDescent="0.25">
      <c r="A213" s="36" t="s">
        <v>275</v>
      </c>
      <c r="B213" s="160" t="s">
        <v>84</v>
      </c>
      <c r="C213" s="160" t="s">
        <v>72</v>
      </c>
      <c r="D213" s="160" t="s">
        <v>72</v>
      </c>
      <c r="E213" s="161">
        <v>3</v>
      </c>
      <c r="F213" s="160" t="s">
        <v>68</v>
      </c>
      <c r="G213" s="161">
        <v>29490</v>
      </c>
      <c r="H213" s="161"/>
      <c r="I213" s="164">
        <f>I214</f>
        <v>2372283.6</v>
      </c>
      <c r="J213" s="164">
        <f>J214</f>
        <v>2082033.2000000002</v>
      </c>
    </row>
    <row r="214" spans="1:10" ht="31.5" x14ac:dyDescent="0.25">
      <c r="A214" s="36" t="s">
        <v>75</v>
      </c>
      <c r="B214" s="160" t="s">
        <v>84</v>
      </c>
      <c r="C214" s="160" t="s">
        <v>72</v>
      </c>
      <c r="D214" s="160" t="s">
        <v>72</v>
      </c>
      <c r="E214" s="161">
        <v>3</v>
      </c>
      <c r="F214" s="160" t="s">
        <v>68</v>
      </c>
      <c r="G214" s="161">
        <v>29490</v>
      </c>
      <c r="H214" s="161">
        <v>240</v>
      </c>
      <c r="I214" s="164">
        <f>'Прил 7'!J201</f>
        <v>2372283.6</v>
      </c>
      <c r="J214" s="164">
        <f>'Прил 7'!K201</f>
        <v>2082033.2000000002</v>
      </c>
    </row>
    <row r="215" spans="1:10" x14ac:dyDescent="0.25">
      <c r="A215" s="36" t="s">
        <v>276</v>
      </c>
      <c r="B215" s="160" t="s">
        <v>84</v>
      </c>
      <c r="C215" s="160" t="s">
        <v>72</v>
      </c>
      <c r="D215" s="160" t="s">
        <v>72</v>
      </c>
      <c r="E215" s="161">
        <v>3</v>
      </c>
      <c r="F215" s="160" t="s">
        <v>68</v>
      </c>
      <c r="G215" s="160" t="s">
        <v>277</v>
      </c>
      <c r="H215" s="161"/>
      <c r="I215" s="164">
        <f>I216</f>
        <v>9000000</v>
      </c>
      <c r="J215" s="164">
        <f>J216</f>
        <v>9000000</v>
      </c>
    </row>
    <row r="216" spans="1:10" ht="31.5" x14ac:dyDescent="0.25">
      <c r="A216" s="36" t="s">
        <v>75</v>
      </c>
      <c r="B216" s="160" t="s">
        <v>84</v>
      </c>
      <c r="C216" s="160" t="s">
        <v>72</v>
      </c>
      <c r="D216" s="160" t="s">
        <v>72</v>
      </c>
      <c r="E216" s="161">
        <v>3</v>
      </c>
      <c r="F216" s="160" t="s">
        <v>68</v>
      </c>
      <c r="G216" s="160" t="s">
        <v>277</v>
      </c>
      <c r="H216" s="161">
        <v>240</v>
      </c>
      <c r="I216" s="164">
        <f>'Прил 7'!J203</f>
        <v>9000000</v>
      </c>
      <c r="J216" s="164">
        <f>'Прил 7'!K203</f>
        <v>9000000</v>
      </c>
    </row>
    <row r="217" spans="1:10" ht="31.5" hidden="1" x14ac:dyDescent="0.25">
      <c r="A217" s="36" t="s">
        <v>278</v>
      </c>
      <c r="B217" s="160" t="s">
        <v>84</v>
      </c>
      <c r="C217" s="160" t="s">
        <v>72</v>
      </c>
      <c r="D217" s="160" t="s">
        <v>72</v>
      </c>
      <c r="E217" s="161">
        <v>3</v>
      </c>
      <c r="F217" s="160" t="s">
        <v>68</v>
      </c>
      <c r="G217" s="160" t="s">
        <v>279</v>
      </c>
      <c r="H217" s="161"/>
      <c r="I217" s="164">
        <f>I218</f>
        <v>0</v>
      </c>
      <c r="J217" s="164">
        <f>J218</f>
        <v>0</v>
      </c>
    </row>
    <row r="218" spans="1:10" ht="31.5" x14ac:dyDescent="0.25">
      <c r="A218" s="36" t="s">
        <v>75</v>
      </c>
      <c r="B218" s="160" t="s">
        <v>84</v>
      </c>
      <c r="C218" s="160" t="s">
        <v>72</v>
      </c>
      <c r="D218" s="160" t="s">
        <v>72</v>
      </c>
      <c r="E218" s="161">
        <v>3</v>
      </c>
      <c r="F218" s="160" t="s">
        <v>68</v>
      </c>
      <c r="G218" s="160" t="s">
        <v>279</v>
      </c>
      <c r="H218" s="161">
        <v>240</v>
      </c>
      <c r="I218" s="164"/>
      <c r="J218" s="164"/>
    </row>
    <row r="219" spans="1:10" x14ac:dyDescent="0.25">
      <c r="A219" s="36" t="s">
        <v>280</v>
      </c>
      <c r="B219" s="160" t="s">
        <v>84</v>
      </c>
      <c r="C219" s="160" t="s">
        <v>72</v>
      </c>
      <c r="D219" s="160" t="s">
        <v>72</v>
      </c>
      <c r="E219" s="161">
        <v>3</v>
      </c>
      <c r="F219" s="160" t="s">
        <v>68</v>
      </c>
      <c r="G219" s="160" t="s">
        <v>281</v>
      </c>
      <c r="H219" s="161"/>
      <c r="I219" s="164">
        <f>I220</f>
        <v>1000000</v>
      </c>
      <c r="J219" s="164">
        <f>J220</f>
        <v>1000000</v>
      </c>
    </row>
    <row r="220" spans="1:10" ht="31.5" x14ac:dyDescent="0.25">
      <c r="A220" s="36" t="s">
        <v>75</v>
      </c>
      <c r="B220" s="160" t="s">
        <v>84</v>
      </c>
      <c r="C220" s="160" t="s">
        <v>72</v>
      </c>
      <c r="D220" s="160" t="s">
        <v>72</v>
      </c>
      <c r="E220" s="161">
        <v>3</v>
      </c>
      <c r="F220" s="160" t="s">
        <v>68</v>
      </c>
      <c r="G220" s="160" t="s">
        <v>281</v>
      </c>
      <c r="H220" s="161">
        <v>240</v>
      </c>
      <c r="I220" s="164">
        <f>'Прил 7'!J207</f>
        <v>1000000</v>
      </c>
      <c r="J220" s="164">
        <f>'Прил 7'!K207</f>
        <v>1000000</v>
      </c>
    </row>
    <row r="221" spans="1:10" ht="63" x14ac:dyDescent="0.25">
      <c r="A221" s="36" t="s">
        <v>485</v>
      </c>
      <c r="B221" s="160" t="s">
        <v>84</v>
      </c>
      <c r="C221" s="160" t="s">
        <v>72</v>
      </c>
      <c r="D221" s="160" t="s">
        <v>110</v>
      </c>
      <c r="E221" s="161">
        <v>0</v>
      </c>
      <c r="F221" s="160" t="s">
        <v>68</v>
      </c>
      <c r="G221" s="160" t="s">
        <v>69</v>
      </c>
      <c r="H221" s="161"/>
      <c r="I221" s="164">
        <f>I222</f>
        <v>2393.2399999999998</v>
      </c>
      <c r="J221" s="164">
        <f>J222</f>
        <v>0</v>
      </c>
    </row>
    <row r="222" spans="1:10" ht="47.25" x14ac:dyDescent="0.25">
      <c r="A222" s="36" t="s">
        <v>486</v>
      </c>
      <c r="B222" s="160" t="s">
        <v>84</v>
      </c>
      <c r="C222" s="160" t="s">
        <v>72</v>
      </c>
      <c r="D222" s="160" t="s">
        <v>110</v>
      </c>
      <c r="E222" s="161">
        <v>1</v>
      </c>
      <c r="F222" s="160" t="s">
        <v>68</v>
      </c>
      <c r="G222" s="160" t="s">
        <v>69</v>
      </c>
      <c r="H222" s="161"/>
      <c r="I222" s="164">
        <f>I223+I226+I229</f>
        <v>2393.2399999999998</v>
      </c>
      <c r="J222" s="164">
        <f>J223+J226+J229</f>
        <v>0</v>
      </c>
    </row>
    <row r="223" spans="1:10" hidden="1" x14ac:dyDescent="0.25">
      <c r="A223" s="36" t="s">
        <v>284</v>
      </c>
      <c r="B223" s="160" t="s">
        <v>84</v>
      </c>
      <c r="C223" s="160" t="s">
        <v>72</v>
      </c>
      <c r="D223" s="160" t="s">
        <v>110</v>
      </c>
      <c r="E223" s="161">
        <v>1</v>
      </c>
      <c r="F223" s="160" t="s">
        <v>65</v>
      </c>
      <c r="G223" s="160" t="s">
        <v>69</v>
      </c>
      <c r="H223" s="161"/>
      <c r="I223" s="164">
        <f>I224</f>
        <v>0</v>
      </c>
      <c r="J223" s="164">
        <f>J224</f>
        <v>0</v>
      </c>
    </row>
    <row r="224" spans="1:10" ht="94.5" hidden="1" x14ac:dyDescent="0.25">
      <c r="A224" s="36" t="s">
        <v>285</v>
      </c>
      <c r="B224" s="160" t="s">
        <v>84</v>
      </c>
      <c r="C224" s="160" t="s">
        <v>72</v>
      </c>
      <c r="D224" s="160" t="s">
        <v>110</v>
      </c>
      <c r="E224" s="161">
        <v>1</v>
      </c>
      <c r="F224" s="160" t="s">
        <v>65</v>
      </c>
      <c r="G224" s="160" t="s">
        <v>286</v>
      </c>
      <c r="H224" s="161"/>
      <c r="I224" s="164">
        <f>I225</f>
        <v>0</v>
      </c>
      <c r="J224" s="164">
        <f>J225</f>
        <v>0</v>
      </c>
    </row>
    <row r="225" spans="1:10" ht="31.5" hidden="1" x14ac:dyDescent="0.25">
      <c r="A225" s="36" t="s">
        <v>75</v>
      </c>
      <c r="B225" s="160" t="s">
        <v>84</v>
      </c>
      <c r="C225" s="160" t="s">
        <v>72</v>
      </c>
      <c r="D225" s="160" t="s">
        <v>110</v>
      </c>
      <c r="E225" s="161">
        <v>1</v>
      </c>
      <c r="F225" s="160" t="s">
        <v>65</v>
      </c>
      <c r="G225" s="160" t="s">
        <v>286</v>
      </c>
      <c r="H225" s="161">
        <v>240</v>
      </c>
      <c r="I225" s="164"/>
      <c r="J225" s="164"/>
    </row>
    <row r="226" spans="1:10" ht="31.5" hidden="1" x14ac:dyDescent="0.25">
      <c r="A226" s="36" t="s">
        <v>287</v>
      </c>
      <c r="B226" s="160" t="s">
        <v>84</v>
      </c>
      <c r="C226" s="160" t="s">
        <v>72</v>
      </c>
      <c r="D226" s="160" t="s">
        <v>110</v>
      </c>
      <c r="E226" s="161">
        <v>1</v>
      </c>
      <c r="F226" s="160" t="s">
        <v>66</v>
      </c>
      <c r="G226" s="160" t="s">
        <v>69</v>
      </c>
      <c r="H226" s="161"/>
      <c r="I226" s="164">
        <f>I227</f>
        <v>0</v>
      </c>
      <c r="J226" s="164">
        <f>J227</f>
        <v>0</v>
      </c>
    </row>
    <row r="227" spans="1:10" ht="94.5" hidden="1" x14ac:dyDescent="0.25">
      <c r="A227" s="36" t="s">
        <v>285</v>
      </c>
      <c r="B227" s="160" t="s">
        <v>84</v>
      </c>
      <c r="C227" s="160" t="s">
        <v>72</v>
      </c>
      <c r="D227" s="160" t="s">
        <v>110</v>
      </c>
      <c r="E227" s="161">
        <v>1</v>
      </c>
      <c r="F227" s="160" t="s">
        <v>66</v>
      </c>
      <c r="G227" s="160" t="s">
        <v>286</v>
      </c>
      <c r="H227" s="161"/>
      <c r="I227" s="164">
        <f>I228</f>
        <v>0</v>
      </c>
      <c r="J227" s="164">
        <f>J228</f>
        <v>0</v>
      </c>
    </row>
    <row r="228" spans="1:10" ht="31.5" hidden="1" x14ac:dyDescent="0.25">
      <c r="A228" s="36" t="s">
        <v>75</v>
      </c>
      <c r="B228" s="160" t="s">
        <v>84</v>
      </c>
      <c r="C228" s="160" t="s">
        <v>72</v>
      </c>
      <c r="D228" s="160" t="s">
        <v>110</v>
      </c>
      <c r="E228" s="161">
        <v>1</v>
      </c>
      <c r="F228" s="160" t="s">
        <v>66</v>
      </c>
      <c r="G228" s="160" t="s">
        <v>286</v>
      </c>
      <c r="H228" s="161">
        <v>240</v>
      </c>
      <c r="I228" s="164"/>
      <c r="J228" s="164"/>
    </row>
    <row r="229" spans="1:10" ht="110.25" x14ac:dyDescent="0.25">
      <c r="A229" s="36" t="s">
        <v>288</v>
      </c>
      <c r="B229" s="160" t="s">
        <v>84</v>
      </c>
      <c r="C229" s="160" t="s">
        <v>72</v>
      </c>
      <c r="D229" s="160" t="s">
        <v>110</v>
      </c>
      <c r="E229" s="161">
        <v>1</v>
      </c>
      <c r="F229" s="160" t="s">
        <v>120</v>
      </c>
      <c r="G229" s="160" t="s">
        <v>69</v>
      </c>
      <c r="H229" s="161"/>
      <c r="I229" s="164">
        <f>I230</f>
        <v>2393.2399999999998</v>
      </c>
      <c r="J229" s="164">
        <f>J230</f>
        <v>0</v>
      </c>
    </row>
    <row r="230" spans="1:10" ht="94.5" x14ac:dyDescent="0.25">
      <c r="A230" s="36" t="s">
        <v>285</v>
      </c>
      <c r="B230" s="160" t="s">
        <v>84</v>
      </c>
      <c r="C230" s="160" t="s">
        <v>72</v>
      </c>
      <c r="D230" s="160" t="s">
        <v>110</v>
      </c>
      <c r="E230" s="161">
        <v>1</v>
      </c>
      <c r="F230" s="160" t="s">
        <v>120</v>
      </c>
      <c r="G230" s="160" t="s">
        <v>121</v>
      </c>
      <c r="H230" s="161"/>
      <c r="I230" s="164">
        <f>I231</f>
        <v>2393.2399999999998</v>
      </c>
      <c r="J230" s="164">
        <f>J231</f>
        <v>0</v>
      </c>
    </row>
    <row r="231" spans="1:10" x14ac:dyDescent="0.25">
      <c r="A231" s="170" t="s">
        <v>157</v>
      </c>
      <c r="B231" s="160" t="s">
        <v>84</v>
      </c>
      <c r="C231" s="160" t="s">
        <v>72</v>
      </c>
      <c r="D231" s="160" t="s">
        <v>110</v>
      </c>
      <c r="E231" s="161">
        <v>1</v>
      </c>
      <c r="F231" s="160" t="s">
        <v>120</v>
      </c>
      <c r="G231" s="160" t="s">
        <v>121</v>
      </c>
      <c r="H231" s="161">
        <v>540</v>
      </c>
      <c r="I231" s="164">
        <f>'Прил 7'!J218</f>
        <v>2393.2399999999998</v>
      </c>
      <c r="J231" s="164">
        <f>'Прил 7'!K218</f>
        <v>0</v>
      </c>
    </row>
    <row r="232" spans="1:10" x14ac:dyDescent="0.25">
      <c r="A232" s="45" t="s">
        <v>157</v>
      </c>
      <c r="B232" s="126" t="s">
        <v>84</v>
      </c>
      <c r="C232" s="126" t="s">
        <v>72</v>
      </c>
      <c r="D232" s="126" t="s">
        <v>154</v>
      </c>
      <c r="E232" s="126" t="s">
        <v>67</v>
      </c>
      <c r="F232" s="126" t="s">
        <v>68</v>
      </c>
      <c r="G232" s="126" t="s">
        <v>69</v>
      </c>
      <c r="H232" s="127"/>
      <c r="I232" s="164">
        <f t="shared" ref="I232:J234" si="14">I233</f>
        <v>548300</v>
      </c>
      <c r="J232" s="164">
        <f t="shared" si="14"/>
        <v>0</v>
      </c>
    </row>
    <row r="233" spans="1:10" ht="63" x14ac:dyDescent="0.25">
      <c r="A233" s="45" t="s">
        <v>152</v>
      </c>
      <c r="B233" s="126" t="s">
        <v>84</v>
      </c>
      <c r="C233" s="126" t="s">
        <v>72</v>
      </c>
      <c r="D233" s="126" t="s">
        <v>154</v>
      </c>
      <c r="E233" s="126" t="s">
        <v>73</v>
      </c>
      <c r="F233" s="126" t="s">
        <v>68</v>
      </c>
      <c r="G233" s="126" t="s">
        <v>69</v>
      </c>
      <c r="H233" s="127"/>
      <c r="I233" s="164">
        <f t="shared" si="14"/>
        <v>548300</v>
      </c>
      <c r="J233" s="164">
        <f t="shared" si="14"/>
        <v>0</v>
      </c>
    </row>
    <row r="234" spans="1:10" ht="47.25" x14ac:dyDescent="0.25">
      <c r="A234" s="45" t="s">
        <v>422</v>
      </c>
      <c r="B234" s="126" t="s">
        <v>84</v>
      </c>
      <c r="C234" s="126" t="s">
        <v>72</v>
      </c>
      <c r="D234" s="126">
        <v>97</v>
      </c>
      <c r="E234" s="127">
        <v>2</v>
      </c>
      <c r="F234" s="126" t="s">
        <v>68</v>
      </c>
      <c r="G234" s="127">
        <v>85200</v>
      </c>
      <c r="H234" s="126"/>
      <c r="I234" s="164">
        <f t="shared" si="14"/>
        <v>548300</v>
      </c>
      <c r="J234" s="164">
        <f t="shared" si="14"/>
        <v>0</v>
      </c>
    </row>
    <row r="235" spans="1:10" x14ac:dyDescent="0.25">
      <c r="A235" s="48" t="s">
        <v>157</v>
      </c>
      <c r="B235" s="126" t="s">
        <v>84</v>
      </c>
      <c r="C235" s="126" t="s">
        <v>72</v>
      </c>
      <c r="D235" s="126">
        <v>97</v>
      </c>
      <c r="E235" s="127">
        <v>2</v>
      </c>
      <c r="F235" s="126" t="s">
        <v>68</v>
      </c>
      <c r="G235" s="127">
        <v>85200</v>
      </c>
      <c r="H235" s="126" t="s">
        <v>423</v>
      </c>
      <c r="I235" s="164">
        <f>'Прил 7'!J222</f>
        <v>548300</v>
      </c>
      <c r="J235" s="164">
        <f>'Прил 7'!K222</f>
        <v>0</v>
      </c>
    </row>
    <row r="236" spans="1:10" ht="31.5" x14ac:dyDescent="0.25">
      <c r="A236" s="36" t="s">
        <v>289</v>
      </c>
      <c r="B236" s="160" t="s">
        <v>84</v>
      </c>
      <c r="C236" s="160" t="s">
        <v>84</v>
      </c>
      <c r="D236" s="160" t="s">
        <v>68</v>
      </c>
      <c r="E236" s="161">
        <v>0</v>
      </c>
      <c r="F236" s="160" t="s">
        <v>68</v>
      </c>
      <c r="G236" s="160" t="s">
        <v>69</v>
      </c>
      <c r="H236" s="161"/>
      <c r="I236" s="164">
        <f>I237+I243</f>
        <v>26023782.75</v>
      </c>
      <c r="J236" s="164">
        <f>J237+J243</f>
        <v>26878561.259999998</v>
      </c>
    </row>
    <row r="237" spans="1:10" ht="47.25" x14ac:dyDescent="0.25">
      <c r="A237" s="163" t="s">
        <v>230</v>
      </c>
      <c r="B237" s="160" t="s">
        <v>84</v>
      </c>
      <c r="C237" s="160" t="s">
        <v>84</v>
      </c>
      <c r="D237" s="160" t="s">
        <v>72</v>
      </c>
      <c r="E237" s="161">
        <v>0</v>
      </c>
      <c r="F237" s="160" t="s">
        <v>68</v>
      </c>
      <c r="G237" s="160" t="s">
        <v>69</v>
      </c>
      <c r="H237" s="161"/>
      <c r="I237" s="164">
        <f>I238</f>
        <v>25360782.75</v>
      </c>
      <c r="J237" s="164">
        <f>J238</f>
        <v>26215561.259999998</v>
      </c>
    </row>
    <row r="238" spans="1:10" x14ac:dyDescent="0.25">
      <c r="A238" s="36" t="s">
        <v>290</v>
      </c>
      <c r="B238" s="160" t="s">
        <v>84</v>
      </c>
      <c r="C238" s="160" t="s">
        <v>84</v>
      </c>
      <c r="D238" s="160" t="s">
        <v>72</v>
      </c>
      <c r="E238" s="161">
        <v>4</v>
      </c>
      <c r="F238" s="160" t="s">
        <v>68</v>
      </c>
      <c r="G238" s="160" t="s">
        <v>69</v>
      </c>
      <c r="H238" s="161"/>
      <c r="I238" s="164">
        <f>I239</f>
        <v>25360782.75</v>
      </c>
      <c r="J238" s="164">
        <f>J239</f>
        <v>26215561.259999998</v>
      </c>
    </row>
    <row r="239" spans="1:10" ht="31.5" x14ac:dyDescent="0.25">
      <c r="A239" s="36" t="s">
        <v>291</v>
      </c>
      <c r="B239" s="160" t="s">
        <v>84</v>
      </c>
      <c r="C239" s="160" t="s">
        <v>84</v>
      </c>
      <c r="D239" s="160" t="s">
        <v>72</v>
      </c>
      <c r="E239" s="161">
        <v>4</v>
      </c>
      <c r="F239" s="160" t="s">
        <v>68</v>
      </c>
      <c r="G239" s="160" t="s">
        <v>292</v>
      </c>
      <c r="H239" s="161"/>
      <c r="I239" s="164">
        <f>SUM(I240:I242)</f>
        <v>25360782.75</v>
      </c>
      <c r="J239" s="164">
        <f>SUM(J240:J242)</f>
        <v>26215561.259999998</v>
      </c>
    </row>
    <row r="240" spans="1:10" x14ac:dyDescent="0.25">
      <c r="A240" s="163" t="s">
        <v>293</v>
      </c>
      <c r="B240" s="160" t="s">
        <v>84</v>
      </c>
      <c r="C240" s="160" t="s">
        <v>84</v>
      </c>
      <c r="D240" s="160" t="s">
        <v>72</v>
      </c>
      <c r="E240" s="161">
        <v>4</v>
      </c>
      <c r="F240" s="160" t="s">
        <v>68</v>
      </c>
      <c r="G240" s="160" t="s">
        <v>292</v>
      </c>
      <c r="H240" s="161">
        <v>110</v>
      </c>
      <c r="I240" s="164">
        <f>'Прил 7'!J227</f>
        <v>19584161.530000001</v>
      </c>
      <c r="J240" s="164">
        <f>'Прил 7'!K227</f>
        <v>20367539.989999998</v>
      </c>
    </row>
    <row r="241" spans="1:10" ht="31.5" x14ac:dyDescent="0.25">
      <c r="A241" s="36" t="s">
        <v>75</v>
      </c>
      <c r="B241" s="160" t="s">
        <v>84</v>
      </c>
      <c r="C241" s="160" t="s">
        <v>84</v>
      </c>
      <c r="D241" s="160" t="s">
        <v>72</v>
      </c>
      <c r="E241" s="161">
        <v>4</v>
      </c>
      <c r="F241" s="160" t="s">
        <v>68</v>
      </c>
      <c r="G241" s="160" t="s">
        <v>292</v>
      </c>
      <c r="H241" s="161">
        <v>240</v>
      </c>
      <c r="I241" s="164">
        <f>'Прил 7'!J228</f>
        <v>5726621.2199999997</v>
      </c>
      <c r="J241" s="164">
        <f>'Прил 7'!K228</f>
        <v>5798021.2699999996</v>
      </c>
    </row>
    <row r="242" spans="1:10" x14ac:dyDescent="0.25">
      <c r="A242" s="163" t="s">
        <v>77</v>
      </c>
      <c r="B242" s="160" t="s">
        <v>84</v>
      </c>
      <c r="C242" s="160" t="s">
        <v>84</v>
      </c>
      <c r="D242" s="160" t="s">
        <v>72</v>
      </c>
      <c r="E242" s="161">
        <v>4</v>
      </c>
      <c r="F242" s="160" t="s">
        <v>68</v>
      </c>
      <c r="G242" s="160" t="s">
        <v>292</v>
      </c>
      <c r="H242" s="161">
        <v>850</v>
      </c>
      <c r="I242" s="164">
        <f>'Прил 7'!J229</f>
        <v>50000</v>
      </c>
      <c r="J242" s="164">
        <f>'Прил 7'!K229</f>
        <v>50000</v>
      </c>
    </row>
    <row r="243" spans="1:10" ht="47.25" x14ac:dyDescent="0.25">
      <c r="A243" s="163" t="s">
        <v>182</v>
      </c>
      <c r="B243" s="160" t="s">
        <v>84</v>
      </c>
      <c r="C243" s="160" t="s">
        <v>84</v>
      </c>
      <c r="D243" s="160" t="s">
        <v>88</v>
      </c>
      <c r="E243" s="161">
        <v>0</v>
      </c>
      <c r="F243" s="160" t="s">
        <v>68</v>
      </c>
      <c r="G243" s="160" t="s">
        <v>69</v>
      </c>
      <c r="H243" s="161"/>
      <c r="I243" s="164">
        <f>I244</f>
        <v>663000</v>
      </c>
      <c r="J243" s="164">
        <f>J244</f>
        <v>663000</v>
      </c>
    </row>
    <row r="244" spans="1:10" ht="31.5" x14ac:dyDescent="0.25">
      <c r="A244" s="163" t="s">
        <v>294</v>
      </c>
      <c r="B244" s="160" t="s">
        <v>84</v>
      </c>
      <c r="C244" s="160" t="s">
        <v>84</v>
      </c>
      <c r="D244" s="160" t="s">
        <v>88</v>
      </c>
      <c r="E244" s="161">
        <v>2</v>
      </c>
      <c r="F244" s="160" t="s">
        <v>68</v>
      </c>
      <c r="G244" s="160" t="s">
        <v>69</v>
      </c>
      <c r="H244" s="161"/>
      <c r="I244" s="164">
        <f>I245+I248</f>
        <v>663000</v>
      </c>
      <c r="J244" s="164">
        <f>J245+J248</f>
        <v>663000</v>
      </c>
    </row>
    <row r="245" spans="1:10" x14ac:dyDescent="0.25">
      <c r="A245" s="163" t="s">
        <v>184</v>
      </c>
      <c r="B245" s="160" t="s">
        <v>84</v>
      </c>
      <c r="C245" s="160" t="s">
        <v>84</v>
      </c>
      <c r="D245" s="160" t="s">
        <v>88</v>
      </c>
      <c r="E245" s="161">
        <v>2</v>
      </c>
      <c r="F245" s="160" t="s">
        <v>65</v>
      </c>
      <c r="G245" s="160" t="s">
        <v>69</v>
      </c>
      <c r="H245" s="161"/>
      <c r="I245" s="164">
        <f>I246</f>
        <v>150000</v>
      </c>
      <c r="J245" s="164">
        <f>J246</f>
        <v>150000</v>
      </c>
    </row>
    <row r="246" spans="1:10" ht="47.25" x14ac:dyDescent="0.25">
      <c r="A246" s="36" t="s">
        <v>185</v>
      </c>
      <c r="B246" s="160" t="s">
        <v>84</v>
      </c>
      <c r="C246" s="160" t="s">
        <v>84</v>
      </c>
      <c r="D246" s="160" t="s">
        <v>88</v>
      </c>
      <c r="E246" s="160" t="s">
        <v>73</v>
      </c>
      <c r="F246" s="160" t="s">
        <v>65</v>
      </c>
      <c r="G246" s="160" t="s">
        <v>186</v>
      </c>
      <c r="H246" s="160"/>
      <c r="I246" s="164">
        <f>I247</f>
        <v>150000</v>
      </c>
      <c r="J246" s="164">
        <f>J247</f>
        <v>150000</v>
      </c>
    </row>
    <row r="247" spans="1:10" ht="31.5" x14ac:dyDescent="0.25">
      <c r="A247" s="36" t="s">
        <v>75</v>
      </c>
      <c r="B247" s="160" t="s">
        <v>84</v>
      </c>
      <c r="C247" s="160" t="s">
        <v>84</v>
      </c>
      <c r="D247" s="160" t="s">
        <v>88</v>
      </c>
      <c r="E247" s="160" t="s">
        <v>73</v>
      </c>
      <c r="F247" s="160" t="s">
        <v>65</v>
      </c>
      <c r="G247" s="160" t="s">
        <v>186</v>
      </c>
      <c r="H247" s="160" t="s">
        <v>76</v>
      </c>
      <c r="I247" s="164">
        <f>'Прил 7'!J234</f>
        <v>150000</v>
      </c>
      <c r="J247" s="164">
        <f>'Прил 7'!K234</f>
        <v>150000</v>
      </c>
    </row>
    <row r="248" spans="1:10" x14ac:dyDescent="0.25">
      <c r="A248" s="163" t="s">
        <v>295</v>
      </c>
      <c r="B248" s="160" t="s">
        <v>84</v>
      </c>
      <c r="C248" s="160" t="s">
        <v>84</v>
      </c>
      <c r="D248" s="160" t="s">
        <v>88</v>
      </c>
      <c r="E248" s="161">
        <v>2</v>
      </c>
      <c r="F248" s="160" t="s">
        <v>66</v>
      </c>
      <c r="G248" s="160"/>
      <c r="H248" s="161"/>
      <c r="I248" s="164">
        <f>I249</f>
        <v>513000</v>
      </c>
      <c r="J248" s="164">
        <f>J249</f>
        <v>513000</v>
      </c>
    </row>
    <row r="249" spans="1:10" ht="47.25" x14ac:dyDescent="0.25">
      <c r="A249" s="36" t="s">
        <v>185</v>
      </c>
      <c r="B249" s="160" t="s">
        <v>84</v>
      </c>
      <c r="C249" s="160" t="s">
        <v>84</v>
      </c>
      <c r="D249" s="160" t="s">
        <v>88</v>
      </c>
      <c r="E249" s="160" t="s">
        <v>73</v>
      </c>
      <c r="F249" s="160" t="s">
        <v>66</v>
      </c>
      <c r="G249" s="160" t="s">
        <v>186</v>
      </c>
      <c r="H249" s="160"/>
      <c r="I249" s="164">
        <f>I250</f>
        <v>513000</v>
      </c>
      <c r="J249" s="164">
        <f>J250</f>
        <v>513000</v>
      </c>
    </row>
    <row r="250" spans="1:10" ht="31.5" x14ac:dyDescent="0.25">
      <c r="A250" s="36" t="s">
        <v>75</v>
      </c>
      <c r="B250" s="160" t="s">
        <v>84</v>
      </c>
      <c r="C250" s="160" t="s">
        <v>84</v>
      </c>
      <c r="D250" s="160" t="s">
        <v>88</v>
      </c>
      <c r="E250" s="160" t="s">
        <v>73</v>
      </c>
      <c r="F250" s="160" t="s">
        <v>66</v>
      </c>
      <c r="G250" s="160" t="s">
        <v>186</v>
      </c>
      <c r="H250" s="160" t="s">
        <v>76</v>
      </c>
      <c r="I250" s="164">
        <f>'Прил 7'!J237</f>
        <v>513000</v>
      </c>
      <c r="J250" s="164">
        <f>'Прил 7'!K237</f>
        <v>513000</v>
      </c>
    </row>
    <row r="251" spans="1:10" x14ac:dyDescent="0.25">
      <c r="A251" s="167" t="s">
        <v>122</v>
      </c>
      <c r="B251" s="160" t="s">
        <v>88</v>
      </c>
      <c r="C251" s="160"/>
      <c r="D251" s="160"/>
      <c r="E251" s="161"/>
      <c r="F251" s="160"/>
      <c r="G251" s="160"/>
      <c r="H251" s="161"/>
      <c r="I251" s="162">
        <f>I252+I256</f>
        <v>2966610</v>
      </c>
      <c r="J251" s="162">
        <f>J252+J256</f>
        <v>3047960.4</v>
      </c>
    </row>
    <row r="252" spans="1:10" ht="31.5" x14ac:dyDescent="0.25">
      <c r="A252" s="168" t="s">
        <v>123</v>
      </c>
      <c r="B252" s="160" t="s">
        <v>88</v>
      </c>
      <c r="C252" s="160" t="s">
        <v>84</v>
      </c>
      <c r="D252" s="160"/>
      <c r="E252" s="161"/>
      <c r="F252" s="160"/>
      <c r="G252" s="160"/>
      <c r="H252" s="161"/>
      <c r="I252" s="164">
        <f t="shared" ref="I252:J254" si="15">I253</f>
        <v>30000</v>
      </c>
      <c r="J252" s="164">
        <f t="shared" si="15"/>
        <v>30000</v>
      </c>
    </row>
    <row r="253" spans="1:10" ht="94.5" x14ac:dyDescent="0.25">
      <c r="A253" s="163" t="s">
        <v>296</v>
      </c>
      <c r="B253" s="160" t="s">
        <v>88</v>
      </c>
      <c r="C253" s="160" t="s">
        <v>84</v>
      </c>
      <c r="D253" s="160" t="s">
        <v>102</v>
      </c>
      <c r="E253" s="161">
        <v>0</v>
      </c>
      <c r="F253" s="160" t="s">
        <v>68</v>
      </c>
      <c r="G253" s="160" t="s">
        <v>69</v>
      </c>
      <c r="H253" s="161"/>
      <c r="I253" s="164">
        <f t="shared" si="15"/>
        <v>30000</v>
      </c>
      <c r="J253" s="164">
        <f t="shared" si="15"/>
        <v>30000</v>
      </c>
    </row>
    <row r="254" spans="1:10" ht="31.5" x14ac:dyDescent="0.25">
      <c r="A254" s="36" t="s">
        <v>297</v>
      </c>
      <c r="B254" s="160" t="s">
        <v>88</v>
      </c>
      <c r="C254" s="160" t="s">
        <v>84</v>
      </c>
      <c r="D254" s="160" t="s">
        <v>102</v>
      </c>
      <c r="E254" s="161">
        <v>0</v>
      </c>
      <c r="F254" s="160" t="s">
        <v>68</v>
      </c>
      <c r="G254" s="160" t="s">
        <v>298</v>
      </c>
      <c r="H254" s="161"/>
      <c r="I254" s="164">
        <f t="shared" si="15"/>
        <v>30000</v>
      </c>
      <c r="J254" s="164">
        <f t="shared" si="15"/>
        <v>30000</v>
      </c>
    </row>
    <row r="255" spans="1:10" ht="31.5" x14ac:dyDescent="0.25">
      <c r="A255" s="36" t="s">
        <v>75</v>
      </c>
      <c r="B255" s="160" t="s">
        <v>88</v>
      </c>
      <c r="C255" s="160" t="s">
        <v>84</v>
      </c>
      <c r="D255" s="160" t="s">
        <v>102</v>
      </c>
      <c r="E255" s="161">
        <v>0</v>
      </c>
      <c r="F255" s="160" t="s">
        <v>68</v>
      </c>
      <c r="G255" s="160" t="s">
        <v>298</v>
      </c>
      <c r="H255" s="161">
        <v>240</v>
      </c>
      <c r="I255" s="164">
        <f>'Прил 7'!J242</f>
        <v>30000</v>
      </c>
      <c r="J255" s="164">
        <f>'Прил 7'!K242</f>
        <v>30000</v>
      </c>
    </row>
    <row r="256" spans="1:10" x14ac:dyDescent="0.25">
      <c r="A256" s="163" t="s">
        <v>124</v>
      </c>
      <c r="B256" s="160" t="s">
        <v>88</v>
      </c>
      <c r="C256" s="160" t="s">
        <v>88</v>
      </c>
      <c r="D256" s="160"/>
      <c r="E256" s="161"/>
      <c r="F256" s="160"/>
      <c r="G256" s="160"/>
      <c r="H256" s="161"/>
      <c r="I256" s="162">
        <f>I257</f>
        <v>2936610</v>
      </c>
      <c r="J256" s="162">
        <f>J257</f>
        <v>3017960.4</v>
      </c>
    </row>
    <row r="257" spans="1:10" ht="63" x14ac:dyDescent="0.25">
      <c r="A257" s="36" t="s">
        <v>299</v>
      </c>
      <c r="B257" s="160" t="s">
        <v>88</v>
      </c>
      <c r="C257" s="160" t="s">
        <v>88</v>
      </c>
      <c r="D257" s="160" t="s">
        <v>86</v>
      </c>
      <c r="E257" s="161">
        <v>0</v>
      </c>
      <c r="F257" s="160" t="s">
        <v>68</v>
      </c>
      <c r="G257" s="160" t="s">
        <v>69</v>
      </c>
      <c r="H257" s="161"/>
      <c r="I257" s="162">
        <f>I258</f>
        <v>2936610</v>
      </c>
      <c r="J257" s="162">
        <f>J258</f>
        <v>3017960.4</v>
      </c>
    </row>
    <row r="258" spans="1:10" x14ac:dyDescent="0.25">
      <c r="A258" s="163" t="s">
        <v>124</v>
      </c>
      <c r="B258" s="160" t="s">
        <v>88</v>
      </c>
      <c r="C258" s="160" t="s">
        <v>88</v>
      </c>
      <c r="D258" s="160" t="s">
        <v>86</v>
      </c>
      <c r="E258" s="161">
        <v>1</v>
      </c>
      <c r="F258" s="160" t="s">
        <v>68</v>
      </c>
      <c r="G258" s="160" t="s">
        <v>69</v>
      </c>
      <c r="H258" s="161"/>
      <c r="I258" s="162">
        <f>I259+I261</f>
        <v>2936610</v>
      </c>
      <c r="J258" s="162">
        <f>J259+J261</f>
        <v>3017960.4</v>
      </c>
    </row>
    <row r="259" spans="1:10" ht="31.5" x14ac:dyDescent="0.25">
      <c r="A259" s="163" t="s">
        <v>300</v>
      </c>
      <c r="B259" s="160" t="s">
        <v>88</v>
      </c>
      <c r="C259" s="160" t="s">
        <v>88</v>
      </c>
      <c r="D259" s="160" t="s">
        <v>86</v>
      </c>
      <c r="E259" s="161">
        <v>1</v>
      </c>
      <c r="F259" s="160" t="s">
        <v>68</v>
      </c>
      <c r="G259" s="160" t="s">
        <v>301</v>
      </c>
      <c r="H259" s="161"/>
      <c r="I259" s="162">
        <f>I260</f>
        <v>99993.600000000006</v>
      </c>
      <c r="J259" s="162">
        <f>J260</f>
        <v>99993.600000000006</v>
      </c>
    </row>
    <row r="260" spans="1:10" x14ac:dyDescent="0.25">
      <c r="A260" s="163" t="s">
        <v>293</v>
      </c>
      <c r="B260" s="160" t="s">
        <v>88</v>
      </c>
      <c r="C260" s="160" t="s">
        <v>88</v>
      </c>
      <c r="D260" s="160" t="s">
        <v>86</v>
      </c>
      <c r="E260" s="161">
        <v>1</v>
      </c>
      <c r="F260" s="160" t="s">
        <v>68</v>
      </c>
      <c r="G260" s="160" t="s">
        <v>301</v>
      </c>
      <c r="H260" s="161">
        <v>110</v>
      </c>
      <c r="I260" s="162">
        <f>'Прил 7'!J247</f>
        <v>99993.600000000006</v>
      </c>
      <c r="J260" s="162">
        <f>'Прил 7'!K247</f>
        <v>99993.600000000006</v>
      </c>
    </row>
    <row r="261" spans="1:10" ht="31.5" x14ac:dyDescent="0.25">
      <c r="A261" s="44" t="s">
        <v>302</v>
      </c>
      <c r="B261" s="126" t="s">
        <v>88</v>
      </c>
      <c r="C261" s="126" t="s">
        <v>88</v>
      </c>
      <c r="D261" s="126" t="s">
        <v>86</v>
      </c>
      <c r="E261" s="127">
        <v>1</v>
      </c>
      <c r="F261" s="126" t="s">
        <v>68</v>
      </c>
      <c r="G261" s="126" t="s">
        <v>303</v>
      </c>
      <c r="H261" s="127"/>
      <c r="I261" s="162">
        <f>I262</f>
        <v>2836616.4</v>
      </c>
      <c r="J261" s="162">
        <f>J262</f>
        <v>2917966.8</v>
      </c>
    </row>
    <row r="262" spans="1:10" x14ac:dyDescent="0.25">
      <c r="A262" s="45" t="s">
        <v>105</v>
      </c>
      <c r="B262" s="126" t="s">
        <v>88</v>
      </c>
      <c r="C262" s="126" t="s">
        <v>88</v>
      </c>
      <c r="D262" s="126" t="s">
        <v>86</v>
      </c>
      <c r="E262" s="127">
        <v>1</v>
      </c>
      <c r="F262" s="126" t="s">
        <v>68</v>
      </c>
      <c r="G262" s="126" t="s">
        <v>303</v>
      </c>
      <c r="H262" s="127">
        <v>520</v>
      </c>
      <c r="I262" s="162">
        <f>'Прил 7'!J249</f>
        <v>2836616.4</v>
      </c>
      <c r="J262" s="162">
        <f>'Прил 7'!K249</f>
        <v>2917966.8</v>
      </c>
    </row>
    <row r="263" spans="1:10" x14ac:dyDescent="0.25">
      <c r="A263" s="167" t="s">
        <v>304</v>
      </c>
      <c r="B263" s="160" t="s">
        <v>112</v>
      </c>
      <c r="C263" s="160"/>
      <c r="D263" s="160"/>
      <c r="E263" s="161"/>
      <c r="F263" s="160"/>
      <c r="G263" s="160"/>
      <c r="H263" s="161"/>
      <c r="I263" s="162">
        <f>I264+I283</f>
        <v>25567479.16</v>
      </c>
      <c r="J263" s="162">
        <f>J264+J283</f>
        <v>27477566</v>
      </c>
    </row>
    <row r="264" spans="1:10" x14ac:dyDescent="0.25">
      <c r="A264" s="163" t="s">
        <v>125</v>
      </c>
      <c r="B264" s="160" t="s">
        <v>112</v>
      </c>
      <c r="C264" s="161" t="s">
        <v>65</v>
      </c>
      <c r="D264" s="160" t="s">
        <v>134</v>
      </c>
      <c r="E264" s="161"/>
      <c r="F264" s="160"/>
      <c r="G264" s="160"/>
      <c r="H264" s="161" t="s">
        <v>135</v>
      </c>
      <c r="I264" s="162">
        <f>I265+I272+I277</f>
        <v>24509079.16</v>
      </c>
      <c r="J264" s="162">
        <f>J265+J272+J277</f>
        <v>25502110</v>
      </c>
    </row>
    <row r="265" spans="1:10" ht="63" x14ac:dyDescent="0.25">
      <c r="A265" s="36" t="s">
        <v>299</v>
      </c>
      <c r="B265" s="160" t="s">
        <v>112</v>
      </c>
      <c r="C265" s="160" t="s">
        <v>65</v>
      </c>
      <c r="D265" s="160" t="s">
        <v>86</v>
      </c>
      <c r="E265" s="161">
        <v>0</v>
      </c>
      <c r="F265" s="160" t="s">
        <v>68</v>
      </c>
      <c r="G265" s="160" t="s">
        <v>69</v>
      </c>
      <c r="H265" s="161"/>
      <c r="I265" s="162">
        <f>I266+I269</f>
        <v>22833999.899999999</v>
      </c>
      <c r="J265" s="162">
        <f>J266+J269</f>
        <v>23724834.59</v>
      </c>
    </row>
    <row r="266" spans="1:10" x14ac:dyDescent="0.25">
      <c r="A266" s="36" t="s">
        <v>443</v>
      </c>
      <c r="B266" s="160" t="s">
        <v>112</v>
      </c>
      <c r="C266" s="160" t="s">
        <v>65</v>
      </c>
      <c r="D266" s="160" t="s">
        <v>86</v>
      </c>
      <c r="E266" s="161">
        <v>2</v>
      </c>
      <c r="F266" s="160" t="s">
        <v>68</v>
      </c>
      <c r="G266" s="160" t="s">
        <v>69</v>
      </c>
      <c r="H266" s="161"/>
      <c r="I266" s="162">
        <f>I267</f>
        <v>6877594.8899999997</v>
      </c>
      <c r="J266" s="162">
        <f>J267</f>
        <v>6896503.0300000003</v>
      </c>
    </row>
    <row r="267" spans="1:10" ht="31.5" x14ac:dyDescent="0.25">
      <c r="A267" s="36" t="s">
        <v>291</v>
      </c>
      <c r="B267" s="160" t="s">
        <v>112</v>
      </c>
      <c r="C267" s="160" t="s">
        <v>65</v>
      </c>
      <c r="D267" s="160" t="s">
        <v>86</v>
      </c>
      <c r="E267" s="161">
        <v>2</v>
      </c>
      <c r="F267" s="160" t="s">
        <v>68</v>
      </c>
      <c r="G267" s="160" t="s">
        <v>292</v>
      </c>
      <c r="H267" s="161"/>
      <c r="I267" s="162">
        <f>SUM(I268:I268)</f>
        <v>6877594.8899999997</v>
      </c>
      <c r="J267" s="162">
        <f>SUM(J268:J268)</f>
        <v>6896503.0300000003</v>
      </c>
    </row>
    <row r="268" spans="1:10" x14ac:dyDescent="0.25">
      <c r="A268" s="163" t="s">
        <v>113</v>
      </c>
      <c r="B268" s="160" t="s">
        <v>112</v>
      </c>
      <c r="C268" s="160" t="s">
        <v>65</v>
      </c>
      <c r="D268" s="160" t="s">
        <v>86</v>
      </c>
      <c r="E268" s="161">
        <v>5</v>
      </c>
      <c r="F268" s="160" t="s">
        <v>68</v>
      </c>
      <c r="G268" s="160" t="s">
        <v>292</v>
      </c>
      <c r="H268" s="161">
        <v>620</v>
      </c>
      <c r="I268" s="162">
        <f>'Прил 7'!J255</f>
        <v>6877594.8899999997</v>
      </c>
      <c r="J268" s="162">
        <f>'Прил 7'!K255</f>
        <v>6896503.0300000003</v>
      </c>
    </row>
    <row r="269" spans="1:10" x14ac:dyDescent="0.25">
      <c r="A269" s="36" t="s">
        <v>305</v>
      </c>
      <c r="B269" s="160" t="s">
        <v>112</v>
      </c>
      <c r="C269" s="160" t="s">
        <v>65</v>
      </c>
      <c r="D269" s="160" t="s">
        <v>86</v>
      </c>
      <c r="E269" s="161">
        <v>5</v>
      </c>
      <c r="F269" s="160" t="s">
        <v>68</v>
      </c>
      <c r="G269" s="160" t="s">
        <v>69</v>
      </c>
      <c r="H269" s="161"/>
      <c r="I269" s="162">
        <f>I270</f>
        <v>15956405.01</v>
      </c>
      <c r="J269" s="162">
        <f>J270</f>
        <v>16828331.559999999</v>
      </c>
    </row>
    <row r="270" spans="1:10" ht="31.5" x14ac:dyDescent="0.25">
      <c r="A270" s="36" t="s">
        <v>291</v>
      </c>
      <c r="B270" s="160" t="s">
        <v>112</v>
      </c>
      <c r="C270" s="160" t="s">
        <v>65</v>
      </c>
      <c r="D270" s="160" t="s">
        <v>86</v>
      </c>
      <c r="E270" s="161">
        <v>5</v>
      </c>
      <c r="F270" s="160" t="s">
        <v>68</v>
      </c>
      <c r="G270" s="160" t="s">
        <v>292</v>
      </c>
      <c r="H270" s="161"/>
      <c r="I270" s="162">
        <f>I271</f>
        <v>15956405.01</v>
      </c>
      <c r="J270" s="162">
        <f>J271</f>
        <v>16828331.559999999</v>
      </c>
    </row>
    <row r="271" spans="1:10" x14ac:dyDescent="0.25">
      <c r="A271" s="163" t="s">
        <v>113</v>
      </c>
      <c r="B271" s="160" t="s">
        <v>112</v>
      </c>
      <c r="C271" s="160" t="s">
        <v>65</v>
      </c>
      <c r="D271" s="160" t="s">
        <v>86</v>
      </c>
      <c r="E271" s="161">
        <v>5</v>
      </c>
      <c r="F271" s="160" t="s">
        <v>68</v>
      </c>
      <c r="G271" s="160" t="s">
        <v>292</v>
      </c>
      <c r="H271" s="161">
        <v>620</v>
      </c>
      <c r="I271" s="162">
        <f>'Прил 7'!J258</f>
        <v>15956405.01</v>
      </c>
      <c r="J271" s="162">
        <f>'Прил 7'!K258</f>
        <v>16828331.559999999</v>
      </c>
    </row>
    <row r="272" spans="1:10" ht="47.25" hidden="1" customHeight="1" x14ac:dyDescent="0.25">
      <c r="A272" s="163" t="s">
        <v>182</v>
      </c>
      <c r="B272" s="160" t="s">
        <v>112</v>
      </c>
      <c r="C272" s="160" t="s">
        <v>65</v>
      </c>
      <c r="D272" s="160" t="s">
        <v>88</v>
      </c>
      <c r="E272" s="161">
        <v>0</v>
      </c>
      <c r="F272" s="160" t="s">
        <v>68</v>
      </c>
      <c r="G272" s="160" t="s">
        <v>69</v>
      </c>
      <c r="H272" s="161"/>
      <c r="I272" s="164">
        <f t="shared" ref="I272:J275" si="16">I273</f>
        <v>0</v>
      </c>
      <c r="J272" s="164">
        <f t="shared" si="16"/>
        <v>0</v>
      </c>
    </row>
    <row r="273" spans="1:10" ht="31.5" hidden="1" customHeight="1" x14ac:dyDescent="0.25">
      <c r="A273" s="163" t="s">
        <v>497</v>
      </c>
      <c r="B273" s="160" t="s">
        <v>112</v>
      </c>
      <c r="C273" s="160" t="s">
        <v>65</v>
      </c>
      <c r="D273" s="160" t="s">
        <v>88</v>
      </c>
      <c r="E273" s="161">
        <v>3</v>
      </c>
      <c r="F273" s="160" t="s">
        <v>68</v>
      </c>
      <c r="G273" s="160" t="s">
        <v>69</v>
      </c>
      <c r="H273" s="161"/>
      <c r="I273" s="164">
        <f t="shared" si="16"/>
        <v>0</v>
      </c>
      <c r="J273" s="164">
        <f t="shared" si="16"/>
        <v>0</v>
      </c>
    </row>
    <row r="274" spans="1:10" ht="47.25" hidden="1" customHeight="1" x14ac:dyDescent="0.25">
      <c r="A274" s="163" t="s">
        <v>487</v>
      </c>
      <c r="B274" s="160" t="s">
        <v>112</v>
      </c>
      <c r="C274" s="160" t="s">
        <v>65</v>
      </c>
      <c r="D274" s="160" t="s">
        <v>88</v>
      </c>
      <c r="E274" s="161">
        <v>3</v>
      </c>
      <c r="F274" s="160" t="s">
        <v>66</v>
      </c>
      <c r="G274" s="160" t="s">
        <v>69</v>
      </c>
      <c r="H274" s="161"/>
      <c r="I274" s="164">
        <f t="shared" si="16"/>
        <v>0</v>
      </c>
      <c r="J274" s="164">
        <f t="shared" si="16"/>
        <v>0</v>
      </c>
    </row>
    <row r="275" spans="1:10" ht="47.25" hidden="1" customHeight="1" x14ac:dyDescent="0.25">
      <c r="A275" s="36" t="s">
        <v>185</v>
      </c>
      <c r="B275" s="160" t="s">
        <v>112</v>
      </c>
      <c r="C275" s="160" t="s">
        <v>65</v>
      </c>
      <c r="D275" s="160" t="s">
        <v>88</v>
      </c>
      <c r="E275" s="160" t="s">
        <v>74</v>
      </c>
      <c r="F275" s="160" t="s">
        <v>66</v>
      </c>
      <c r="G275" s="160" t="s">
        <v>186</v>
      </c>
      <c r="H275" s="160"/>
      <c r="I275" s="164">
        <f t="shared" si="16"/>
        <v>0</v>
      </c>
      <c r="J275" s="164">
        <f t="shared" si="16"/>
        <v>0</v>
      </c>
    </row>
    <row r="276" spans="1:10" ht="15.75" hidden="1" customHeight="1" x14ac:dyDescent="0.25">
      <c r="A276" s="163" t="s">
        <v>113</v>
      </c>
      <c r="B276" s="160" t="s">
        <v>112</v>
      </c>
      <c r="C276" s="160" t="s">
        <v>65</v>
      </c>
      <c r="D276" s="160" t="s">
        <v>88</v>
      </c>
      <c r="E276" s="160" t="s">
        <v>74</v>
      </c>
      <c r="F276" s="160" t="s">
        <v>66</v>
      </c>
      <c r="G276" s="160" t="s">
        <v>186</v>
      </c>
      <c r="H276" s="161">
        <v>620</v>
      </c>
      <c r="I276" s="164">
        <f>'Прил 7'!J263</f>
        <v>0</v>
      </c>
      <c r="J276" s="164">
        <f>'Прил 7'!K263</f>
        <v>0</v>
      </c>
    </row>
    <row r="277" spans="1:10" x14ac:dyDescent="0.25">
      <c r="A277" s="36" t="s">
        <v>80</v>
      </c>
      <c r="B277" s="160" t="s">
        <v>112</v>
      </c>
      <c r="C277" s="160" t="s">
        <v>65</v>
      </c>
      <c r="D277" s="160" t="s">
        <v>81</v>
      </c>
      <c r="E277" s="161">
        <v>0</v>
      </c>
      <c r="F277" s="160" t="s">
        <v>67</v>
      </c>
      <c r="G277" s="160" t="s">
        <v>69</v>
      </c>
      <c r="H277" s="161"/>
      <c r="I277" s="162">
        <f>I278</f>
        <v>1675079.26</v>
      </c>
      <c r="J277" s="162">
        <f>J278</f>
        <v>1777275.41</v>
      </c>
    </row>
    <row r="278" spans="1:10" x14ac:dyDescent="0.25">
      <c r="A278" s="36" t="s">
        <v>207</v>
      </c>
      <c r="B278" s="160" t="s">
        <v>112</v>
      </c>
      <c r="C278" s="160" t="s">
        <v>65</v>
      </c>
      <c r="D278" s="160" t="s">
        <v>81</v>
      </c>
      <c r="E278" s="161">
        <v>9</v>
      </c>
      <c r="F278" s="160" t="s">
        <v>67</v>
      </c>
      <c r="G278" s="160" t="s">
        <v>69</v>
      </c>
      <c r="H278" s="161"/>
      <c r="I278" s="162">
        <f>I279+I281</f>
        <v>1675079.26</v>
      </c>
      <c r="J278" s="162">
        <f>J279+J281</f>
        <v>1777275.41</v>
      </c>
    </row>
    <row r="279" spans="1:10" ht="78.75" x14ac:dyDescent="0.25">
      <c r="A279" s="36" t="s">
        <v>308</v>
      </c>
      <c r="B279" s="160" t="s">
        <v>112</v>
      </c>
      <c r="C279" s="160" t="s">
        <v>65</v>
      </c>
      <c r="D279" s="160" t="s">
        <v>81</v>
      </c>
      <c r="E279" s="161">
        <v>9</v>
      </c>
      <c r="F279" s="160" t="s">
        <v>68</v>
      </c>
      <c r="G279" s="160" t="s">
        <v>126</v>
      </c>
      <c r="H279" s="161"/>
      <c r="I279" s="162">
        <f>I280</f>
        <v>52918.98</v>
      </c>
      <c r="J279" s="162">
        <f>J280</f>
        <v>52918.98</v>
      </c>
    </row>
    <row r="280" spans="1:10" x14ac:dyDescent="0.25">
      <c r="A280" s="44" t="s">
        <v>113</v>
      </c>
      <c r="B280" s="160" t="s">
        <v>112</v>
      </c>
      <c r="C280" s="160" t="s">
        <v>65</v>
      </c>
      <c r="D280" s="160" t="s">
        <v>81</v>
      </c>
      <c r="E280" s="161">
        <v>9</v>
      </c>
      <c r="F280" s="160" t="s">
        <v>68</v>
      </c>
      <c r="G280" s="160" t="s">
        <v>126</v>
      </c>
      <c r="H280" s="161">
        <v>620</v>
      </c>
      <c r="I280" s="162">
        <f>'Прил 7'!J267</f>
        <v>52918.98</v>
      </c>
      <c r="J280" s="162">
        <f>'Прил 7'!K267</f>
        <v>52918.98</v>
      </c>
    </row>
    <row r="281" spans="1:10" ht="31.5" x14ac:dyDescent="0.25">
      <c r="A281" s="45" t="s">
        <v>395</v>
      </c>
      <c r="B281" s="126" t="s">
        <v>112</v>
      </c>
      <c r="C281" s="126" t="s">
        <v>65</v>
      </c>
      <c r="D281" s="126" t="s">
        <v>81</v>
      </c>
      <c r="E281" s="127">
        <v>9</v>
      </c>
      <c r="F281" s="126" t="s">
        <v>68</v>
      </c>
      <c r="G281" s="126" t="s">
        <v>394</v>
      </c>
      <c r="H281" s="127"/>
      <c r="I281" s="162">
        <f>SUM(I282:I282)</f>
        <v>1622160.28</v>
      </c>
      <c r="J281" s="162">
        <f>SUM(J282:J282)</f>
        <v>1724356.43</v>
      </c>
    </row>
    <row r="282" spans="1:10" x14ac:dyDescent="0.25">
      <c r="A282" s="44" t="s">
        <v>113</v>
      </c>
      <c r="B282" s="126" t="s">
        <v>112</v>
      </c>
      <c r="C282" s="126" t="s">
        <v>65</v>
      </c>
      <c r="D282" s="126" t="s">
        <v>81</v>
      </c>
      <c r="E282" s="127">
        <v>9</v>
      </c>
      <c r="F282" s="126" t="s">
        <v>68</v>
      </c>
      <c r="G282" s="126" t="s">
        <v>394</v>
      </c>
      <c r="H282" s="127">
        <v>620</v>
      </c>
      <c r="I282" s="162">
        <f>'Прил 7'!J269</f>
        <v>1622160.28</v>
      </c>
      <c r="J282" s="162">
        <f>'Прил 7'!K269</f>
        <v>1724356.43</v>
      </c>
    </row>
    <row r="283" spans="1:10" x14ac:dyDescent="0.25">
      <c r="A283" s="163" t="s">
        <v>127</v>
      </c>
      <c r="B283" s="160" t="s">
        <v>112</v>
      </c>
      <c r="C283" s="160" t="s">
        <v>83</v>
      </c>
      <c r="D283" s="160"/>
      <c r="E283" s="161"/>
      <c r="F283" s="160"/>
      <c r="G283" s="160"/>
      <c r="H283" s="161"/>
      <c r="I283" s="164">
        <f>I284</f>
        <v>1058400</v>
      </c>
      <c r="J283" s="164">
        <f>J284</f>
        <v>1975456</v>
      </c>
    </row>
    <row r="284" spans="1:10" ht="63" x14ac:dyDescent="0.25">
      <c r="A284" s="36" t="s">
        <v>299</v>
      </c>
      <c r="B284" s="160" t="s">
        <v>112</v>
      </c>
      <c r="C284" s="160" t="s">
        <v>83</v>
      </c>
      <c r="D284" s="160" t="s">
        <v>86</v>
      </c>
      <c r="E284" s="161">
        <v>0</v>
      </c>
      <c r="F284" s="160" t="s">
        <v>68</v>
      </c>
      <c r="G284" s="160" t="s">
        <v>69</v>
      </c>
      <c r="H284" s="161"/>
      <c r="I284" s="164">
        <f>I285</f>
        <v>1058400</v>
      </c>
      <c r="J284" s="164">
        <f>J285</f>
        <v>1975456</v>
      </c>
    </row>
    <row r="285" spans="1:10" x14ac:dyDescent="0.25">
      <c r="A285" s="36" t="s">
        <v>309</v>
      </c>
      <c r="B285" s="160" t="s">
        <v>112</v>
      </c>
      <c r="C285" s="160" t="s">
        <v>83</v>
      </c>
      <c r="D285" s="160" t="s">
        <v>86</v>
      </c>
      <c r="E285" s="161">
        <v>3</v>
      </c>
      <c r="F285" s="160" t="s">
        <v>68</v>
      </c>
      <c r="G285" s="160" t="s">
        <v>69</v>
      </c>
      <c r="H285" s="161"/>
      <c r="I285" s="164">
        <f>I286+I288+I290</f>
        <v>1058400</v>
      </c>
      <c r="J285" s="164">
        <f>J286+J288+J290</f>
        <v>1975456</v>
      </c>
    </row>
    <row r="286" spans="1:10" x14ac:dyDescent="0.25">
      <c r="A286" s="36" t="s">
        <v>310</v>
      </c>
      <c r="B286" s="160" t="s">
        <v>112</v>
      </c>
      <c r="C286" s="160" t="s">
        <v>83</v>
      </c>
      <c r="D286" s="160" t="s">
        <v>86</v>
      </c>
      <c r="E286" s="161">
        <v>3</v>
      </c>
      <c r="F286" s="160" t="s">
        <v>68</v>
      </c>
      <c r="G286" s="160" t="s">
        <v>311</v>
      </c>
      <c r="H286" s="161"/>
      <c r="I286" s="164">
        <f>I287</f>
        <v>100000</v>
      </c>
      <c r="J286" s="164">
        <f>J287</f>
        <v>100000</v>
      </c>
    </row>
    <row r="287" spans="1:10" x14ac:dyDescent="0.25">
      <c r="A287" s="36" t="s">
        <v>91</v>
      </c>
      <c r="B287" s="160" t="s">
        <v>112</v>
      </c>
      <c r="C287" s="160" t="s">
        <v>83</v>
      </c>
      <c r="D287" s="160" t="s">
        <v>86</v>
      </c>
      <c r="E287" s="161">
        <v>3</v>
      </c>
      <c r="F287" s="160" t="s">
        <v>68</v>
      </c>
      <c r="G287" s="160" t="s">
        <v>311</v>
      </c>
      <c r="H287" s="161">
        <v>350</v>
      </c>
      <c r="I287" s="164">
        <f>'Прил 7'!J274</f>
        <v>100000</v>
      </c>
      <c r="J287" s="164">
        <f>'Прил 7'!K274</f>
        <v>100000</v>
      </c>
    </row>
    <row r="288" spans="1:10" x14ac:dyDescent="0.25">
      <c r="A288" s="36" t="s">
        <v>312</v>
      </c>
      <c r="B288" s="160" t="s">
        <v>112</v>
      </c>
      <c r="C288" s="160" t="s">
        <v>83</v>
      </c>
      <c r="D288" s="160" t="s">
        <v>86</v>
      </c>
      <c r="E288" s="161">
        <v>3</v>
      </c>
      <c r="F288" s="160" t="s">
        <v>68</v>
      </c>
      <c r="G288" s="160" t="s">
        <v>313</v>
      </c>
      <c r="H288" s="161"/>
      <c r="I288" s="164">
        <f>I289</f>
        <v>426400</v>
      </c>
      <c r="J288" s="164">
        <f>J289</f>
        <v>1343456</v>
      </c>
    </row>
    <row r="289" spans="1:10" ht="31.5" x14ac:dyDescent="0.25">
      <c r="A289" s="36" t="s">
        <v>75</v>
      </c>
      <c r="B289" s="160" t="s">
        <v>112</v>
      </c>
      <c r="C289" s="160" t="s">
        <v>83</v>
      </c>
      <c r="D289" s="160" t="s">
        <v>86</v>
      </c>
      <c r="E289" s="161">
        <v>3</v>
      </c>
      <c r="F289" s="160" t="s">
        <v>68</v>
      </c>
      <c r="G289" s="160" t="s">
        <v>313</v>
      </c>
      <c r="H289" s="161">
        <v>240</v>
      </c>
      <c r="I289" s="164">
        <f>'Прил 7'!J276</f>
        <v>426400</v>
      </c>
      <c r="J289" s="164">
        <f>'Прил 7'!K276</f>
        <v>1343456</v>
      </c>
    </row>
    <row r="290" spans="1:10" x14ac:dyDescent="0.25">
      <c r="A290" s="36" t="s">
        <v>314</v>
      </c>
      <c r="B290" s="160" t="s">
        <v>112</v>
      </c>
      <c r="C290" s="160" t="s">
        <v>83</v>
      </c>
      <c r="D290" s="160" t="s">
        <v>86</v>
      </c>
      <c r="E290" s="161">
        <v>3</v>
      </c>
      <c r="F290" s="160" t="s">
        <v>68</v>
      </c>
      <c r="G290" s="160" t="s">
        <v>315</v>
      </c>
      <c r="H290" s="161"/>
      <c r="I290" s="164">
        <f>I291</f>
        <v>532000</v>
      </c>
      <c r="J290" s="164">
        <f>J291</f>
        <v>532000</v>
      </c>
    </row>
    <row r="291" spans="1:10" ht="31.5" x14ac:dyDescent="0.25">
      <c r="A291" s="36" t="s">
        <v>75</v>
      </c>
      <c r="B291" s="160" t="s">
        <v>112</v>
      </c>
      <c r="C291" s="160" t="s">
        <v>83</v>
      </c>
      <c r="D291" s="160" t="s">
        <v>86</v>
      </c>
      <c r="E291" s="161">
        <v>3</v>
      </c>
      <c r="F291" s="160" t="s">
        <v>68</v>
      </c>
      <c r="G291" s="160" t="s">
        <v>315</v>
      </c>
      <c r="H291" s="161">
        <v>240</v>
      </c>
      <c r="I291" s="164">
        <f>'Прил 7'!J278</f>
        <v>532000</v>
      </c>
      <c r="J291" s="164">
        <f>'Прил 7'!K278</f>
        <v>532000</v>
      </c>
    </row>
    <row r="292" spans="1:10" x14ac:dyDescent="0.25">
      <c r="A292" s="167" t="s">
        <v>128</v>
      </c>
      <c r="B292" s="160">
        <v>10</v>
      </c>
      <c r="C292" s="160"/>
      <c r="D292" s="160"/>
      <c r="E292" s="161"/>
      <c r="F292" s="160"/>
      <c r="G292" s="160"/>
      <c r="H292" s="161"/>
      <c r="I292" s="164">
        <f>I293</f>
        <v>798520</v>
      </c>
      <c r="J292" s="164">
        <f>J293</f>
        <v>836320</v>
      </c>
    </row>
    <row r="293" spans="1:10" x14ac:dyDescent="0.25">
      <c r="A293" s="163" t="s">
        <v>129</v>
      </c>
      <c r="B293" s="160" t="s">
        <v>90</v>
      </c>
      <c r="C293" s="160" t="s">
        <v>72</v>
      </c>
      <c r="D293" s="160"/>
      <c r="E293" s="160"/>
      <c r="F293" s="160"/>
      <c r="G293" s="160"/>
      <c r="H293" s="161"/>
      <c r="I293" s="164">
        <f>I294+I298</f>
        <v>798520</v>
      </c>
      <c r="J293" s="164">
        <f>J294+J298</f>
        <v>836320</v>
      </c>
    </row>
    <row r="294" spans="1:10" ht="31.5" x14ac:dyDescent="0.25">
      <c r="A294" s="36" t="s">
        <v>316</v>
      </c>
      <c r="B294" s="160" t="s">
        <v>90</v>
      </c>
      <c r="C294" s="160" t="s">
        <v>72</v>
      </c>
      <c r="D294" s="160" t="s">
        <v>317</v>
      </c>
      <c r="E294" s="161">
        <v>0</v>
      </c>
      <c r="F294" s="160" t="s">
        <v>68</v>
      </c>
      <c r="G294" s="160" t="s">
        <v>69</v>
      </c>
      <c r="H294" s="161"/>
      <c r="I294" s="164">
        <f t="shared" ref="I294:J296" si="17">I295</f>
        <v>758520</v>
      </c>
      <c r="J294" s="164">
        <f t="shared" si="17"/>
        <v>796320</v>
      </c>
    </row>
    <row r="295" spans="1:10" x14ac:dyDescent="0.25">
      <c r="A295" s="36" t="s">
        <v>318</v>
      </c>
      <c r="B295" s="160" t="s">
        <v>90</v>
      </c>
      <c r="C295" s="160" t="s">
        <v>72</v>
      </c>
      <c r="D295" s="160" t="s">
        <v>317</v>
      </c>
      <c r="E295" s="161">
        <v>3</v>
      </c>
      <c r="F295" s="160" t="s">
        <v>68</v>
      </c>
      <c r="G295" s="160" t="s">
        <v>69</v>
      </c>
      <c r="H295" s="161"/>
      <c r="I295" s="164">
        <f t="shared" si="17"/>
        <v>758520</v>
      </c>
      <c r="J295" s="164">
        <f t="shared" si="17"/>
        <v>796320</v>
      </c>
    </row>
    <row r="296" spans="1:10" ht="31.5" x14ac:dyDescent="0.25">
      <c r="A296" s="36" t="s">
        <v>319</v>
      </c>
      <c r="B296" s="160" t="s">
        <v>90</v>
      </c>
      <c r="C296" s="160" t="s">
        <v>72</v>
      </c>
      <c r="D296" s="160" t="s">
        <v>317</v>
      </c>
      <c r="E296" s="161">
        <v>3</v>
      </c>
      <c r="F296" s="160" t="s">
        <v>68</v>
      </c>
      <c r="G296" s="160" t="s">
        <v>320</v>
      </c>
      <c r="H296" s="161"/>
      <c r="I296" s="164">
        <f t="shared" si="17"/>
        <v>758520</v>
      </c>
      <c r="J296" s="164">
        <f t="shared" si="17"/>
        <v>796320</v>
      </c>
    </row>
    <row r="297" spans="1:10" ht="47.25" x14ac:dyDescent="0.25">
      <c r="A297" s="36" t="s">
        <v>248</v>
      </c>
      <c r="B297" s="160" t="s">
        <v>90</v>
      </c>
      <c r="C297" s="160" t="s">
        <v>72</v>
      </c>
      <c r="D297" s="160" t="s">
        <v>317</v>
      </c>
      <c r="E297" s="161">
        <v>3</v>
      </c>
      <c r="F297" s="160" t="s">
        <v>68</v>
      </c>
      <c r="G297" s="160" t="s">
        <v>320</v>
      </c>
      <c r="H297" s="161">
        <v>810</v>
      </c>
      <c r="I297" s="164">
        <f>'Прил 7'!J284</f>
        <v>758520</v>
      </c>
      <c r="J297" s="164">
        <f>'Прил 7'!K284</f>
        <v>796320</v>
      </c>
    </row>
    <row r="298" spans="1:10" x14ac:dyDescent="0.25">
      <c r="A298" s="36" t="s">
        <v>80</v>
      </c>
      <c r="B298" s="160" t="s">
        <v>90</v>
      </c>
      <c r="C298" s="160" t="s">
        <v>72</v>
      </c>
      <c r="D298" s="160" t="s">
        <v>81</v>
      </c>
      <c r="E298" s="161">
        <v>0</v>
      </c>
      <c r="F298" s="160" t="s">
        <v>68</v>
      </c>
      <c r="G298" s="160" t="s">
        <v>69</v>
      </c>
      <c r="H298" s="161"/>
      <c r="I298" s="164">
        <f t="shared" ref="I298:J300" si="18">I299</f>
        <v>40000</v>
      </c>
      <c r="J298" s="164">
        <f t="shared" si="18"/>
        <v>40000</v>
      </c>
    </row>
    <row r="299" spans="1:10" x14ac:dyDescent="0.25">
      <c r="A299" s="36" t="s">
        <v>207</v>
      </c>
      <c r="B299" s="160" t="s">
        <v>90</v>
      </c>
      <c r="C299" s="160" t="s">
        <v>72</v>
      </c>
      <c r="D299" s="160" t="s">
        <v>81</v>
      </c>
      <c r="E299" s="161">
        <v>9</v>
      </c>
      <c r="F299" s="160" t="s">
        <v>68</v>
      </c>
      <c r="G299" s="160" t="s">
        <v>69</v>
      </c>
      <c r="H299" s="161"/>
      <c r="I299" s="164">
        <f t="shared" si="18"/>
        <v>40000</v>
      </c>
      <c r="J299" s="164">
        <f t="shared" si="18"/>
        <v>40000</v>
      </c>
    </row>
    <row r="300" spans="1:10" x14ac:dyDescent="0.25">
      <c r="A300" s="36" t="s">
        <v>321</v>
      </c>
      <c r="B300" s="160" t="s">
        <v>90</v>
      </c>
      <c r="C300" s="160" t="s">
        <v>72</v>
      </c>
      <c r="D300" s="160" t="s">
        <v>81</v>
      </c>
      <c r="E300" s="161">
        <v>9</v>
      </c>
      <c r="F300" s="160" t="s">
        <v>68</v>
      </c>
      <c r="G300" s="160" t="s">
        <v>322</v>
      </c>
      <c r="H300" s="161"/>
      <c r="I300" s="162">
        <f t="shared" si="18"/>
        <v>40000</v>
      </c>
      <c r="J300" s="162">
        <f t="shared" si="18"/>
        <v>40000</v>
      </c>
    </row>
    <row r="301" spans="1:10" x14ac:dyDescent="0.25">
      <c r="A301" s="36" t="s">
        <v>130</v>
      </c>
      <c r="B301" s="160" t="s">
        <v>90</v>
      </c>
      <c r="C301" s="160" t="s">
        <v>72</v>
      </c>
      <c r="D301" s="160" t="s">
        <v>81</v>
      </c>
      <c r="E301" s="161">
        <v>9</v>
      </c>
      <c r="F301" s="160" t="s">
        <v>68</v>
      </c>
      <c r="G301" s="160" t="s">
        <v>322</v>
      </c>
      <c r="H301" s="161">
        <v>310</v>
      </c>
      <c r="I301" s="162">
        <f>'Прил 7'!J288</f>
        <v>40000</v>
      </c>
      <c r="J301" s="162">
        <f>'Прил 7'!K288</f>
        <v>40000</v>
      </c>
    </row>
    <row r="302" spans="1:10" x14ac:dyDescent="0.25">
      <c r="A302" s="167" t="s">
        <v>131</v>
      </c>
      <c r="B302" s="160">
        <v>11</v>
      </c>
      <c r="C302" s="160"/>
      <c r="D302" s="160"/>
      <c r="E302" s="161"/>
      <c r="F302" s="160"/>
      <c r="G302" s="160"/>
      <c r="H302" s="161"/>
      <c r="I302" s="164">
        <f t="shared" ref="I302:J304" si="19">I303</f>
        <v>3657407.81</v>
      </c>
      <c r="J302" s="164">
        <f t="shared" si="19"/>
        <v>3718704.12</v>
      </c>
    </row>
    <row r="303" spans="1:10" x14ac:dyDescent="0.25">
      <c r="A303" s="163" t="s">
        <v>132</v>
      </c>
      <c r="B303" s="160">
        <v>11</v>
      </c>
      <c r="C303" s="160" t="s">
        <v>84</v>
      </c>
      <c r="D303" s="160"/>
      <c r="E303" s="161"/>
      <c r="F303" s="160"/>
      <c r="G303" s="160"/>
      <c r="H303" s="161"/>
      <c r="I303" s="164">
        <f t="shared" si="19"/>
        <v>3657407.81</v>
      </c>
      <c r="J303" s="164">
        <f t="shared" si="19"/>
        <v>3718704.12</v>
      </c>
    </row>
    <row r="304" spans="1:10" ht="63" x14ac:dyDescent="0.25">
      <c r="A304" s="36" t="s">
        <v>299</v>
      </c>
      <c r="B304" s="160" t="s">
        <v>94</v>
      </c>
      <c r="C304" s="160" t="s">
        <v>84</v>
      </c>
      <c r="D304" s="160" t="s">
        <v>86</v>
      </c>
      <c r="E304" s="161">
        <v>0</v>
      </c>
      <c r="F304" s="160" t="s">
        <v>68</v>
      </c>
      <c r="G304" s="160" t="s">
        <v>69</v>
      </c>
      <c r="H304" s="161"/>
      <c r="I304" s="164">
        <f t="shared" si="19"/>
        <v>3657407.81</v>
      </c>
      <c r="J304" s="164">
        <f t="shared" si="19"/>
        <v>3718704.12</v>
      </c>
    </row>
    <row r="305" spans="1:10" ht="47.25" x14ac:dyDescent="0.25">
      <c r="A305" s="36" t="s">
        <v>323</v>
      </c>
      <c r="B305" s="160" t="s">
        <v>94</v>
      </c>
      <c r="C305" s="160" t="s">
        <v>84</v>
      </c>
      <c r="D305" s="160" t="s">
        <v>86</v>
      </c>
      <c r="E305" s="161">
        <v>4</v>
      </c>
      <c r="F305" s="160" t="s">
        <v>68</v>
      </c>
      <c r="G305" s="160" t="s">
        <v>69</v>
      </c>
      <c r="H305" s="161"/>
      <c r="I305" s="164">
        <f>I306+I308+I310</f>
        <v>3657407.81</v>
      </c>
      <c r="J305" s="164">
        <f>J306+J308+J310</f>
        <v>3718704.12</v>
      </c>
    </row>
    <row r="306" spans="1:10" x14ac:dyDescent="0.25">
      <c r="A306" s="36" t="s">
        <v>324</v>
      </c>
      <c r="B306" s="160" t="s">
        <v>94</v>
      </c>
      <c r="C306" s="160" t="s">
        <v>84</v>
      </c>
      <c r="D306" s="160" t="s">
        <v>86</v>
      </c>
      <c r="E306" s="161">
        <v>4</v>
      </c>
      <c r="F306" s="160" t="s">
        <v>68</v>
      </c>
      <c r="G306" s="160" t="s">
        <v>325</v>
      </c>
      <c r="H306" s="161"/>
      <c r="I306" s="164">
        <f>I307</f>
        <v>625000</v>
      </c>
      <c r="J306" s="164">
        <f>J307</f>
        <v>625000</v>
      </c>
    </row>
    <row r="307" spans="1:10" ht="31.5" x14ac:dyDescent="0.25">
      <c r="A307" s="36" t="s">
        <v>75</v>
      </c>
      <c r="B307" s="160" t="s">
        <v>94</v>
      </c>
      <c r="C307" s="160" t="s">
        <v>84</v>
      </c>
      <c r="D307" s="160" t="s">
        <v>86</v>
      </c>
      <c r="E307" s="161">
        <v>4</v>
      </c>
      <c r="F307" s="160" t="s">
        <v>68</v>
      </c>
      <c r="G307" s="160" t="s">
        <v>325</v>
      </c>
      <c r="H307" s="161">
        <v>240</v>
      </c>
      <c r="I307" s="164">
        <f>'Прил 7'!J294</f>
        <v>625000</v>
      </c>
      <c r="J307" s="164">
        <f>'Прил 7'!K294</f>
        <v>625000</v>
      </c>
    </row>
    <row r="308" spans="1:10" x14ac:dyDescent="0.25">
      <c r="A308" s="36" t="s">
        <v>273</v>
      </c>
      <c r="B308" s="160" t="s">
        <v>94</v>
      </c>
      <c r="C308" s="160" t="s">
        <v>84</v>
      </c>
      <c r="D308" s="160" t="s">
        <v>86</v>
      </c>
      <c r="E308" s="161">
        <v>4</v>
      </c>
      <c r="F308" s="160" t="s">
        <v>68</v>
      </c>
      <c r="G308" s="160" t="s">
        <v>274</v>
      </c>
      <c r="H308" s="161"/>
      <c r="I308" s="164">
        <f>I309</f>
        <v>1532407.81</v>
      </c>
      <c r="J308" s="164">
        <f>J309</f>
        <v>1593704.12</v>
      </c>
    </row>
    <row r="309" spans="1:10" ht="31.5" x14ac:dyDescent="0.25">
      <c r="A309" s="36" t="s">
        <v>75</v>
      </c>
      <c r="B309" s="160" t="s">
        <v>94</v>
      </c>
      <c r="C309" s="160" t="s">
        <v>84</v>
      </c>
      <c r="D309" s="160" t="s">
        <v>86</v>
      </c>
      <c r="E309" s="161">
        <v>4</v>
      </c>
      <c r="F309" s="160" t="s">
        <v>68</v>
      </c>
      <c r="G309" s="160" t="s">
        <v>274</v>
      </c>
      <c r="H309" s="161">
        <v>240</v>
      </c>
      <c r="I309" s="164">
        <f>'Прил 7'!J296</f>
        <v>1532407.81</v>
      </c>
      <c r="J309" s="164">
        <f>'Прил 7'!K296</f>
        <v>1593704.12</v>
      </c>
    </row>
    <row r="310" spans="1:10" x14ac:dyDescent="0.25">
      <c r="A310" s="36" t="s">
        <v>326</v>
      </c>
      <c r="B310" s="160" t="s">
        <v>94</v>
      </c>
      <c r="C310" s="160" t="s">
        <v>84</v>
      </c>
      <c r="D310" s="160" t="s">
        <v>86</v>
      </c>
      <c r="E310" s="161">
        <v>4</v>
      </c>
      <c r="F310" s="160" t="s">
        <v>68</v>
      </c>
      <c r="G310" s="160" t="s">
        <v>327</v>
      </c>
      <c r="H310" s="161"/>
      <c r="I310" s="164">
        <f>I311</f>
        <v>1500000</v>
      </c>
      <c r="J310" s="164">
        <f>J311</f>
        <v>1500000</v>
      </c>
    </row>
    <row r="311" spans="1:10" ht="31.5" x14ac:dyDescent="0.25">
      <c r="A311" s="36" t="s">
        <v>75</v>
      </c>
      <c r="B311" s="160" t="s">
        <v>94</v>
      </c>
      <c r="C311" s="160" t="s">
        <v>84</v>
      </c>
      <c r="D311" s="160" t="s">
        <v>86</v>
      </c>
      <c r="E311" s="161">
        <v>4</v>
      </c>
      <c r="F311" s="160" t="s">
        <v>68</v>
      </c>
      <c r="G311" s="160" t="s">
        <v>327</v>
      </c>
      <c r="H311" s="161">
        <v>240</v>
      </c>
      <c r="I311" s="164">
        <f>'Прил 7'!J298</f>
        <v>1500000</v>
      </c>
      <c r="J311" s="164">
        <f>'Прил 7'!K298</f>
        <v>1500000</v>
      </c>
    </row>
    <row r="312" spans="1:10" x14ac:dyDescent="0.25">
      <c r="A312" s="171" t="s">
        <v>133</v>
      </c>
      <c r="B312" s="172"/>
      <c r="C312" s="173"/>
      <c r="D312" s="172"/>
      <c r="E312" s="173"/>
      <c r="F312" s="172"/>
      <c r="G312" s="174"/>
      <c r="H312" s="174"/>
      <c r="I312" s="175">
        <f>I22+I122+I130+I157+I182+I251+I263+I292+I302</f>
        <v>160885666.88</v>
      </c>
      <c r="J312" s="175">
        <f>J22+J122+J130+J157+J182+J251+J263+J292+J302</f>
        <v>163352592.06999999</v>
      </c>
    </row>
    <row r="313" spans="1:10" x14ac:dyDescent="0.25">
      <c r="I313" s="178">
        <v>4131300</v>
      </c>
      <c r="J313" s="178">
        <v>8613530</v>
      </c>
    </row>
    <row r="314" spans="1:10" x14ac:dyDescent="0.25">
      <c r="I314" s="178">
        <f>I312+I313</f>
        <v>165016966.88</v>
      </c>
      <c r="J314" s="178">
        <f>J312+J313</f>
        <v>171966122.06999999</v>
      </c>
    </row>
    <row r="315" spans="1:10" x14ac:dyDescent="0.25">
      <c r="I315" s="178">
        <f>'Прил 2'!C51</f>
        <v>165016966.88</v>
      </c>
      <c r="J315" s="178">
        <f>'Прил 2'!D51</f>
        <v>171966122.07000002</v>
      </c>
    </row>
    <row r="316" spans="1:10" x14ac:dyDescent="0.25">
      <c r="I316" s="178">
        <f>I315-I314</f>
        <v>0</v>
      </c>
      <c r="J316" s="178">
        <f>J315-J314</f>
        <v>0</v>
      </c>
    </row>
  </sheetData>
  <mergeCells count="20">
    <mergeCell ref="E14:J14"/>
    <mergeCell ref="E9:J9"/>
    <mergeCell ref="E10:J10"/>
    <mergeCell ref="E11:J11"/>
    <mergeCell ref="E12:J12"/>
    <mergeCell ref="E13:J13"/>
    <mergeCell ref="A17:J17"/>
    <mergeCell ref="A19:J19"/>
    <mergeCell ref="A20:A21"/>
    <mergeCell ref="B20:H20"/>
    <mergeCell ref="I20:I21"/>
    <mergeCell ref="J20:J21"/>
    <mergeCell ref="D21:G21"/>
    <mergeCell ref="C7:J7"/>
    <mergeCell ref="C1:J1"/>
    <mergeCell ref="C2:J2"/>
    <mergeCell ref="C3:J3"/>
    <mergeCell ref="C4:J4"/>
    <mergeCell ref="C5:J5"/>
    <mergeCell ref="C6:J6"/>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K378"/>
  <sheetViews>
    <sheetView view="pageBreakPreview" topLeftCell="A13" zoomScaleNormal="100" zoomScaleSheetLayoutView="100" workbookViewId="0">
      <selection activeCell="A23" sqref="A23"/>
    </sheetView>
  </sheetViews>
  <sheetFormatPr defaultColWidth="8.85546875" defaultRowHeight="15.75" x14ac:dyDescent="0.25"/>
  <cols>
    <col min="1" max="1" width="63.7109375" style="30" customWidth="1"/>
    <col min="2" max="3" width="6.7109375" style="31" customWidth="1"/>
    <col min="4" max="4" width="7.140625" style="31" customWidth="1"/>
    <col min="5" max="5" width="6.7109375" style="31" customWidth="1"/>
    <col min="6" max="6" width="4.42578125" style="31" customWidth="1"/>
    <col min="7" max="7" width="5.42578125" style="31" customWidth="1"/>
    <col min="8" max="8" width="10" style="31" customWidth="1"/>
    <col min="9" max="9" width="9.28515625" style="31" customWidth="1"/>
    <col min="10" max="10" width="17.5703125" style="32" customWidth="1"/>
    <col min="11" max="11" width="15.42578125" style="24" bestFit="1" customWidth="1"/>
    <col min="12" max="16384" width="8.85546875" style="24"/>
  </cols>
  <sheetData>
    <row r="1" spans="1:10" x14ac:dyDescent="0.25">
      <c r="D1" s="246" t="s">
        <v>482</v>
      </c>
      <c r="E1" s="246"/>
      <c r="F1" s="246"/>
      <c r="G1" s="246"/>
      <c r="H1" s="246"/>
      <c r="I1" s="246"/>
      <c r="J1" s="246"/>
    </row>
    <row r="2" spans="1:10" x14ac:dyDescent="0.25">
      <c r="D2" s="246" t="s">
        <v>38</v>
      </c>
      <c r="E2" s="246"/>
      <c r="F2" s="246"/>
      <c r="G2" s="246"/>
      <c r="H2" s="246"/>
      <c r="I2" s="246"/>
      <c r="J2" s="246"/>
    </row>
    <row r="3" spans="1:10" x14ac:dyDescent="0.25">
      <c r="D3" s="246" t="s">
        <v>436</v>
      </c>
      <c r="E3" s="246"/>
      <c r="F3" s="246"/>
      <c r="G3" s="246"/>
      <c r="H3" s="246"/>
      <c r="I3" s="246"/>
      <c r="J3" s="246"/>
    </row>
    <row r="4" spans="1:10" x14ac:dyDescent="0.25">
      <c r="D4" s="246" t="s">
        <v>440</v>
      </c>
      <c r="E4" s="246"/>
      <c r="F4" s="246"/>
      <c r="G4" s="246"/>
      <c r="H4" s="246"/>
      <c r="I4" s="246"/>
      <c r="J4" s="246"/>
    </row>
    <row r="5" spans="1:10" x14ac:dyDescent="0.25">
      <c r="D5" s="246" t="s">
        <v>437</v>
      </c>
      <c r="E5" s="246"/>
      <c r="F5" s="246"/>
      <c r="G5" s="246"/>
      <c r="H5" s="246"/>
      <c r="I5" s="246"/>
      <c r="J5" s="246"/>
    </row>
    <row r="6" spans="1:10" x14ac:dyDescent="0.25">
      <c r="D6" s="246" t="s">
        <v>441</v>
      </c>
      <c r="E6" s="246"/>
      <c r="F6" s="246"/>
      <c r="G6" s="246"/>
      <c r="H6" s="246"/>
      <c r="I6" s="246"/>
      <c r="J6" s="246"/>
    </row>
    <row r="7" spans="1:10" x14ac:dyDescent="0.25">
      <c r="D7" s="246" t="s">
        <v>504</v>
      </c>
      <c r="E7" s="246"/>
      <c r="F7" s="246"/>
      <c r="G7" s="246"/>
      <c r="H7" s="246"/>
      <c r="I7" s="246"/>
      <c r="J7" s="246"/>
    </row>
    <row r="10" spans="1:10" s="58" customFormat="1" x14ac:dyDescent="0.25">
      <c r="A10" s="57"/>
      <c r="B10" s="33"/>
      <c r="C10" s="33"/>
      <c r="D10" s="244" t="s">
        <v>328</v>
      </c>
      <c r="E10" s="244"/>
      <c r="F10" s="244"/>
      <c r="G10" s="244"/>
      <c r="H10" s="244"/>
      <c r="I10" s="244"/>
      <c r="J10" s="244"/>
    </row>
    <row r="11" spans="1:10" s="58" customFormat="1" x14ac:dyDescent="0.25">
      <c r="A11" s="57"/>
      <c r="B11" s="33"/>
      <c r="C11" s="33"/>
      <c r="D11" s="244" t="s">
        <v>38</v>
      </c>
      <c r="E11" s="244"/>
      <c r="F11" s="244"/>
      <c r="G11" s="244"/>
      <c r="H11" s="244"/>
      <c r="I11" s="244"/>
      <c r="J11" s="244"/>
    </row>
    <row r="12" spans="1:10" s="58" customFormat="1" x14ac:dyDescent="0.25">
      <c r="A12" s="57"/>
      <c r="B12" s="33"/>
      <c r="C12" s="33"/>
      <c r="D12" s="244" t="s">
        <v>40</v>
      </c>
      <c r="E12" s="244"/>
      <c r="F12" s="244"/>
      <c r="G12" s="244"/>
      <c r="H12" s="244"/>
      <c r="I12" s="244"/>
      <c r="J12" s="244"/>
    </row>
    <row r="13" spans="1:10" s="58" customFormat="1" x14ac:dyDescent="0.25">
      <c r="A13" s="57"/>
      <c r="B13" s="33"/>
      <c r="C13" s="33"/>
      <c r="D13" s="244" t="s">
        <v>41</v>
      </c>
      <c r="E13" s="244"/>
      <c r="F13" s="244"/>
      <c r="G13" s="244"/>
      <c r="H13" s="244"/>
      <c r="I13" s="244"/>
      <c r="J13" s="244"/>
    </row>
    <row r="14" spans="1:10" s="58" customFormat="1" x14ac:dyDescent="0.25">
      <c r="A14" s="57"/>
      <c r="B14" s="33"/>
      <c r="C14" s="33"/>
      <c r="D14" s="244" t="s">
        <v>419</v>
      </c>
      <c r="E14" s="244"/>
      <c r="F14" s="244"/>
      <c r="G14" s="244"/>
      <c r="H14" s="244"/>
      <c r="I14" s="244"/>
      <c r="J14" s="244"/>
    </row>
    <row r="15" spans="1:10" s="58" customFormat="1" x14ac:dyDescent="0.25">
      <c r="A15" s="57"/>
      <c r="B15" s="33"/>
      <c r="C15" s="33"/>
      <c r="D15" s="244" t="s">
        <v>435</v>
      </c>
      <c r="E15" s="244"/>
      <c r="F15" s="244"/>
      <c r="G15" s="244"/>
      <c r="H15" s="244"/>
      <c r="I15" s="244"/>
      <c r="J15" s="244"/>
    </row>
    <row r="16" spans="1:10" x14ac:dyDescent="0.25">
      <c r="A16" s="22"/>
      <c r="B16" s="23"/>
      <c r="C16" s="23"/>
      <c r="D16" s="23"/>
      <c r="E16" s="23"/>
      <c r="F16" s="23"/>
      <c r="G16" s="23"/>
      <c r="H16" s="23"/>
      <c r="I16" s="23"/>
      <c r="J16" s="25"/>
    </row>
    <row r="17" spans="1:10" ht="35.25" customHeight="1" x14ac:dyDescent="0.25">
      <c r="A17" s="242" t="s">
        <v>421</v>
      </c>
      <c r="B17" s="242"/>
      <c r="C17" s="242"/>
      <c r="D17" s="242"/>
      <c r="E17" s="242"/>
      <c r="F17" s="242"/>
      <c r="G17" s="242"/>
      <c r="H17" s="242"/>
      <c r="I17" s="242"/>
      <c r="J17" s="242"/>
    </row>
    <row r="18" spans="1:10" ht="18.75" x14ac:dyDescent="0.25">
      <c r="A18" s="59"/>
      <c r="B18" s="60"/>
      <c r="C18" s="60"/>
      <c r="D18" s="60"/>
      <c r="E18" s="60"/>
      <c r="F18" s="60"/>
      <c r="G18" s="60"/>
      <c r="H18" s="60"/>
      <c r="I18" s="60"/>
      <c r="J18" s="61"/>
    </row>
    <row r="19" spans="1:10" x14ac:dyDescent="0.25">
      <c r="A19" s="259" t="s">
        <v>37</v>
      </c>
      <c r="B19" s="259"/>
      <c r="C19" s="259"/>
      <c r="D19" s="259"/>
      <c r="E19" s="259"/>
      <c r="F19" s="259"/>
      <c r="G19" s="259"/>
      <c r="H19" s="259"/>
      <c r="I19" s="259"/>
      <c r="J19" s="259"/>
    </row>
    <row r="20" spans="1:10" ht="94.5" x14ac:dyDescent="0.25">
      <c r="A20" s="29" t="s">
        <v>59</v>
      </c>
      <c r="B20" s="29" t="s">
        <v>329</v>
      </c>
      <c r="C20" s="29" t="s">
        <v>330</v>
      </c>
      <c r="D20" s="29" t="s">
        <v>331</v>
      </c>
      <c r="E20" s="256" t="s">
        <v>62</v>
      </c>
      <c r="F20" s="257"/>
      <c r="G20" s="257"/>
      <c r="H20" s="258"/>
      <c r="I20" s="29" t="s">
        <v>442</v>
      </c>
      <c r="J20" s="29" t="s">
        <v>53</v>
      </c>
    </row>
    <row r="21" spans="1:10" x14ac:dyDescent="0.25">
      <c r="A21" s="63" t="s">
        <v>332</v>
      </c>
      <c r="B21" s="64">
        <v>871</v>
      </c>
      <c r="C21" s="65" t="s">
        <v>333</v>
      </c>
      <c r="D21" s="65" t="s">
        <v>333</v>
      </c>
      <c r="E21" s="66" t="s">
        <v>333</v>
      </c>
      <c r="F21" s="67" t="s">
        <v>333</v>
      </c>
      <c r="G21" s="68" t="s">
        <v>333</v>
      </c>
      <c r="H21" s="69" t="s">
        <v>333</v>
      </c>
      <c r="I21" s="67"/>
      <c r="J21" s="99">
        <f>J22+J138+J147+J174+J204+J275+J287+J327+J337</f>
        <v>227451535.96000007</v>
      </c>
    </row>
    <row r="22" spans="1:10" x14ac:dyDescent="0.25">
      <c r="A22" s="37" t="s">
        <v>64</v>
      </c>
      <c r="B22" s="70">
        <v>871</v>
      </c>
      <c r="C22" s="38">
        <v>1</v>
      </c>
      <c r="D22" s="65"/>
      <c r="E22" s="66"/>
      <c r="F22" s="67"/>
      <c r="G22" s="68"/>
      <c r="H22" s="69"/>
      <c r="I22" s="67"/>
      <c r="J22" s="95">
        <f>J23+J50+J55+J59+J64</f>
        <v>34835058.450000003</v>
      </c>
    </row>
    <row r="23" spans="1:10" ht="47.25" x14ac:dyDescent="0.25">
      <c r="A23" s="44" t="s">
        <v>82</v>
      </c>
      <c r="B23" s="71">
        <v>871</v>
      </c>
      <c r="C23" s="101" t="s">
        <v>65</v>
      </c>
      <c r="D23" s="102" t="s">
        <v>83</v>
      </c>
      <c r="E23" s="101" t="s">
        <v>134</v>
      </c>
      <c r="F23" s="102"/>
      <c r="G23" s="101"/>
      <c r="H23" s="101"/>
      <c r="I23" s="102" t="s">
        <v>135</v>
      </c>
      <c r="J23" s="97">
        <f>J24+J37</f>
        <v>14559766.740000002</v>
      </c>
    </row>
    <row r="24" spans="1:10" x14ac:dyDescent="0.25">
      <c r="A24" s="44" t="s">
        <v>146</v>
      </c>
      <c r="B24" s="102">
        <v>871</v>
      </c>
      <c r="C24" s="101" t="s">
        <v>65</v>
      </c>
      <c r="D24" s="102" t="s">
        <v>83</v>
      </c>
      <c r="E24" s="101">
        <v>92</v>
      </c>
      <c r="F24" s="102">
        <v>0</v>
      </c>
      <c r="G24" s="101" t="s">
        <v>68</v>
      </c>
      <c r="H24" s="101" t="s">
        <v>69</v>
      </c>
      <c r="I24" s="102"/>
      <c r="J24" s="97">
        <f>J25+J28</f>
        <v>13688866.740000002</v>
      </c>
    </row>
    <row r="25" spans="1:10" x14ac:dyDescent="0.25">
      <c r="A25" s="46" t="s">
        <v>147</v>
      </c>
      <c r="B25" s="102">
        <v>871</v>
      </c>
      <c r="C25" s="101" t="s">
        <v>65</v>
      </c>
      <c r="D25" s="102" t="s">
        <v>83</v>
      </c>
      <c r="E25" s="101">
        <v>92</v>
      </c>
      <c r="F25" s="102">
        <v>1</v>
      </c>
      <c r="G25" s="101" t="s">
        <v>68</v>
      </c>
      <c r="H25" s="101" t="s">
        <v>69</v>
      </c>
      <c r="I25" s="102"/>
      <c r="J25" s="97">
        <f>J26</f>
        <v>1378787.8</v>
      </c>
    </row>
    <row r="26" spans="1:10" ht="63" x14ac:dyDescent="0.25">
      <c r="A26" s="46" t="s">
        <v>148</v>
      </c>
      <c r="B26" s="102">
        <v>871</v>
      </c>
      <c r="C26" s="101" t="s">
        <v>65</v>
      </c>
      <c r="D26" s="102" t="s">
        <v>83</v>
      </c>
      <c r="E26" s="101">
        <v>92</v>
      </c>
      <c r="F26" s="102">
        <v>1</v>
      </c>
      <c r="G26" s="101" t="s">
        <v>68</v>
      </c>
      <c r="H26" s="101" t="s">
        <v>139</v>
      </c>
      <c r="I26" s="102"/>
      <c r="J26" s="97">
        <f>J27</f>
        <v>1378787.8</v>
      </c>
    </row>
    <row r="27" spans="1:10" x14ac:dyDescent="0.25">
      <c r="A27" s="44" t="s">
        <v>140</v>
      </c>
      <c r="B27" s="102">
        <v>871</v>
      </c>
      <c r="C27" s="101" t="s">
        <v>65</v>
      </c>
      <c r="D27" s="102" t="s">
        <v>83</v>
      </c>
      <c r="E27" s="101">
        <v>92</v>
      </c>
      <c r="F27" s="102">
        <v>1</v>
      </c>
      <c r="G27" s="101" t="s">
        <v>68</v>
      </c>
      <c r="H27" s="101" t="s">
        <v>139</v>
      </c>
      <c r="I27" s="102">
        <v>120</v>
      </c>
      <c r="J27" s="97">
        <f>1378787.8</f>
        <v>1378787.8</v>
      </c>
    </row>
    <row r="28" spans="1:10" x14ac:dyDescent="0.25">
      <c r="A28" s="45" t="s">
        <v>149</v>
      </c>
      <c r="B28" s="102">
        <v>871</v>
      </c>
      <c r="C28" s="101" t="s">
        <v>65</v>
      </c>
      <c r="D28" s="102" t="s">
        <v>83</v>
      </c>
      <c r="E28" s="101">
        <v>92</v>
      </c>
      <c r="F28" s="102">
        <v>2</v>
      </c>
      <c r="G28" s="101" t="s">
        <v>68</v>
      </c>
      <c r="H28" s="101" t="s">
        <v>69</v>
      </c>
      <c r="I28" s="102"/>
      <c r="J28" s="97">
        <f>J29+J31+J34</f>
        <v>12310078.940000001</v>
      </c>
    </row>
    <row r="29" spans="1:10" ht="63" x14ac:dyDescent="0.25">
      <c r="A29" s="45" t="s">
        <v>148</v>
      </c>
      <c r="B29" s="102">
        <v>871</v>
      </c>
      <c r="C29" s="101" t="s">
        <v>65</v>
      </c>
      <c r="D29" s="102" t="s">
        <v>83</v>
      </c>
      <c r="E29" s="101">
        <v>92</v>
      </c>
      <c r="F29" s="102">
        <v>2</v>
      </c>
      <c r="G29" s="101" t="s">
        <v>68</v>
      </c>
      <c r="H29" s="101" t="s">
        <v>139</v>
      </c>
      <c r="I29" s="102"/>
      <c r="J29" s="97">
        <f>J30</f>
        <v>10936955.9</v>
      </c>
    </row>
    <row r="30" spans="1:10" x14ac:dyDescent="0.25">
      <c r="A30" s="44" t="s">
        <v>140</v>
      </c>
      <c r="B30" s="102">
        <v>871</v>
      </c>
      <c r="C30" s="101" t="s">
        <v>65</v>
      </c>
      <c r="D30" s="102" t="s">
        <v>83</v>
      </c>
      <c r="E30" s="101">
        <v>92</v>
      </c>
      <c r="F30" s="102">
        <v>2</v>
      </c>
      <c r="G30" s="101" t="s">
        <v>68</v>
      </c>
      <c r="H30" s="101" t="s">
        <v>139</v>
      </c>
      <c r="I30" s="102">
        <v>120</v>
      </c>
      <c r="J30" s="97">
        <v>10936955.9</v>
      </c>
    </row>
    <row r="31" spans="1:10" ht="63" x14ac:dyDescent="0.25">
      <c r="A31" s="45" t="s">
        <v>150</v>
      </c>
      <c r="B31" s="102">
        <v>871</v>
      </c>
      <c r="C31" s="101" t="s">
        <v>65</v>
      </c>
      <c r="D31" s="102" t="s">
        <v>83</v>
      </c>
      <c r="E31" s="101">
        <v>92</v>
      </c>
      <c r="F31" s="102">
        <v>2</v>
      </c>
      <c r="G31" s="101" t="s">
        <v>68</v>
      </c>
      <c r="H31" s="101" t="s">
        <v>142</v>
      </c>
      <c r="I31" s="102"/>
      <c r="J31" s="97">
        <f>SUM(J32:J33)</f>
        <v>1313123.04</v>
      </c>
    </row>
    <row r="32" spans="1:10" ht="31.5" x14ac:dyDescent="0.25">
      <c r="A32" s="45" t="s">
        <v>75</v>
      </c>
      <c r="B32" s="102">
        <v>871</v>
      </c>
      <c r="C32" s="101" t="s">
        <v>65</v>
      </c>
      <c r="D32" s="102" t="s">
        <v>83</v>
      </c>
      <c r="E32" s="101">
        <v>92</v>
      </c>
      <c r="F32" s="102">
        <v>2</v>
      </c>
      <c r="G32" s="101" t="s">
        <v>68</v>
      </c>
      <c r="H32" s="101" t="s">
        <v>142</v>
      </c>
      <c r="I32" s="102">
        <v>240</v>
      </c>
      <c r="J32" s="97">
        <f>1302923.04-3800</f>
        <v>1299123.04</v>
      </c>
    </row>
    <row r="33" spans="1:10" x14ac:dyDescent="0.25">
      <c r="A33" s="45" t="s">
        <v>77</v>
      </c>
      <c r="B33" s="102">
        <v>871</v>
      </c>
      <c r="C33" s="101" t="s">
        <v>65</v>
      </c>
      <c r="D33" s="102" t="s">
        <v>83</v>
      </c>
      <c r="E33" s="101">
        <v>92</v>
      </c>
      <c r="F33" s="102">
        <v>2</v>
      </c>
      <c r="G33" s="101" t="s">
        <v>68</v>
      </c>
      <c r="H33" s="101" t="s">
        <v>142</v>
      </c>
      <c r="I33" s="102">
        <v>850</v>
      </c>
      <c r="J33" s="97">
        <v>14000</v>
      </c>
    </row>
    <row r="34" spans="1:10" ht="63" x14ac:dyDescent="0.25">
      <c r="A34" s="45" t="s">
        <v>398</v>
      </c>
      <c r="B34" s="102">
        <v>871</v>
      </c>
      <c r="C34" s="101" t="s">
        <v>65</v>
      </c>
      <c r="D34" s="102" t="s">
        <v>83</v>
      </c>
      <c r="E34" s="101">
        <v>92</v>
      </c>
      <c r="F34" s="102">
        <v>2</v>
      </c>
      <c r="G34" s="101" t="s">
        <v>68</v>
      </c>
      <c r="H34" s="101" t="s">
        <v>399</v>
      </c>
      <c r="I34" s="102"/>
      <c r="J34" s="97">
        <f>SUM(J35:J36)</f>
        <v>60000</v>
      </c>
    </row>
    <row r="35" spans="1:10" x14ac:dyDescent="0.25">
      <c r="A35" s="44" t="s">
        <v>140</v>
      </c>
      <c r="B35" s="102">
        <v>871</v>
      </c>
      <c r="C35" s="101" t="s">
        <v>65</v>
      </c>
      <c r="D35" s="102" t="s">
        <v>83</v>
      </c>
      <c r="E35" s="101">
        <v>92</v>
      </c>
      <c r="F35" s="102">
        <v>2</v>
      </c>
      <c r="G35" s="101" t="s">
        <v>68</v>
      </c>
      <c r="H35" s="101" t="s">
        <v>399</v>
      </c>
      <c r="I35" s="102">
        <v>120</v>
      </c>
      <c r="J35" s="97">
        <v>29295</v>
      </c>
    </row>
    <row r="36" spans="1:10" ht="31.5" x14ac:dyDescent="0.25">
      <c r="A36" s="45" t="s">
        <v>75</v>
      </c>
      <c r="B36" s="102">
        <v>871</v>
      </c>
      <c r="C36" s="101" t="s">
        <v>65</v>
      </c>
      <c r="D36" s="102" t="s">
        <v>83</v>
      </c>
      <c r="E36" s="101">
        <v>92</v>
      </c>
      <c r="F36" s="102">
        <v>2</v>
      </c>
      <c r="G36" s="101" t="s">
        <v>68</v>
      </c>
      <c r="H36" s="101" t="s">
        <v>399</v>
      </c>
      <c r="I36" s="102">
        <v>240</v>
      </c>
      <c r="J36" s="97">
        <v>30705</v>
      </c>
    </row>
    <row r="37" spans="1:10" x14ac:dyDescent="0.25">
      <c r="A37" s="45" t="s">
        <v>151</v>
      </c>
      <c r="B37" s="102">
        <v>871</v>
      </c>
      <c r="C37" s="101" t="s">
        <v>65</v>
      </c>
      <c r="D37" s="102" t="s">
        <v>83</v>
      </c>
      <c r="E37" s="101">
        <v>97</v>
      </c>
      <c r="F37" s="102">
        <v>0</v>
      </c>
      <c r="G37" s="101" t="s">
        <v>68</v>
      </c>
      <c r="H37" s="101" t="s">
        <v>69</v>
      </c>
      <c r="I37" s="102"/>
      <c r="J37" s="97">
        <f>J38</f>
        <v>870900</v>
      </c>
    </row>
    <row r="38" spans="1:10" ht="63" x14ac:dyDescent="0.25">
      <c r="A38" s="45" t="s">
        <v>152</v>
      </c>
      <c r="B38" s="102">
        <v>871</v>
      </c>
      <c r="C38" s="101" t="s">
        <v>65</v>
      </c>
      <c r="D38" s="102" t="s">
        <v>83</v>
      </c>
      <c r="E38" s="101">
        <v>97</v>
      </c>
      <c r="F38" s="102">
        <v>2</v>
      </c>
      <c r="G38" s="101" t="s">
        <v>68</v>
      </c>
      <c r="H38" s="101" t="s">
        <v>69</v>
      </c>
      <c r="I38" s="102"/>
      <c r="J38" s="97">
        <f>J42+J44+J46+J48</f>
        <v>870900</v>
      </c>
    </row>
    <row r="39" spans="1:10" ht="189" x14ac:dyDescent="0.25">
      <c r="A39" s="45" t="s">
        <v>334</v>
      </c>
      <c r="B39" s="102"/>
      <c r="C39" s="101"/>
      <c r="D39" s="102"/>
      <c r="E39" s="101"/>
      <c r="F39" s="102"/>
      <c r="G39" s="101"/>
      <c r="H39" s="101"/>
      <c r="I39" s="102"/>
      <c r="J39" s="97"/>
    </row>
    <row r="40" spans="1:10" ht="204.75" x14ac:dyDescent="0.25">
      <c r="A40" s="45" t="s">
        <v>335</v>
      </c>
      <c r="B40" s="102"/>
      <c r="C40" s="101"/>
      <c r="D40" s="102"/>
      <c r="E40" s="101"/>
      <c r="F40" s="102"/>
      <c r="G40" s="101"/>
      <c r="H40" s="101"/>
      <c r="I40" s="102"/>
      <c r="J40" s="97"/>
    </row>
    <row r="41" spans="1:10" ht="110.25" x14ac:dyDescent="0.25">
      <c r="A41" s="45" t="s">
        <v>336</v>
      </c>
      <c r="B41" s="102"/>
      <c r="C41" s="101"/>
      <c r="D41" s="102"/>
      <c r="E41" s="101"/>
      <c r="F41" s="102"/>
      <c r="G41" s="101"/>
      <c r="H41" s="101"/>
      <c r="I41" s="102"/>
      <c r="J41" s="97"/>
    </row>
    <row r="42" spans="1:10" ht="63" x14ac:dyDescent="0.25">
      <c r="A42" s="45" t="s">
        <v>337</v>
      </c>
      <c r="B42" s="101" t="s">
        <v>54</v>
      </c>
      <c r="C42" s="101" t="s">
        <v>65</v>
      </c>
      <c r="D42" s="101" t="s">
        <v>83</v>
      </c>
      <c r="E42" s="101" t="s">
        <v>154</v>
      </c>
      <c r="F42" s="102">
        <v>2</v>
      </c>
      <c r="G42" s="101" t="s">
        <v>68</v>
      </c>
      <c r="H42" s="101" t="s">
        <v>155</v>
      </c>
      <c r="I42" s="102"/>
      <c r="J42" s="97">
        <f>J43</f>
        <v>426300</v>
      </c>
    </row>
    <row r="43" spans="1:10" x14ac:dyDescent="0.25">
      <c r="A43" s="48" t="s">
        <v>157</v>
      </c>
      <c r="B43" s="101" t="s">
        <v>54</v>
      </c>
      <c r="C43" s="101" t="s">
        <v>65</v>
      </c>
      <c r="D43" s="101" t="s">
        <v>83</v>
      </c>
      <c r="E43" s="101" t="s">
        <v>154</v>
      </c>
      <c r="F43" s="102">
        <v>2</v>
      </c>
      <c r="G43" s="101" t="s">
        <v>68</v>
      </c>
      <c r="H43" s="101" t="s">
        <v>155</v>
      </c>
      <c r="I43" s="102">
        <v>540</v>
      </c>
      <c r="J43" s="97">
        <f>421100+5200</f>
        <v>426300</v>
      </c>
    </row>
    <row r="44" spans="1:10" ht="47.25" x14ac:dyDescent="0.25">
      <c r="A44" s="45" t="s">
        <v>158</v>
      </c>
      <c r="B44" s="102">
        <v>871</v>
      </c>
      <c r="C44" s="101" t="s">
        <v>65</v>
      </c>
      <c r="D44" s="102" t="s">
        <v>83</v>
      </c>
      <c r="E44" s="101">
        <v>97</v>
      </c>
      <c r="F44" s="102">
        <v>2</v>
      </c>
      <c r="G44" s="101" t="s">
        <v>68</v>
      </c>
      <c r="H44" s="101" t="s">
        <v>159</v>
      </c>
      <c r="I44" s="102"/>
      <c r="J44" s="97">
        <f>J45</f>
        <v>135100</v>
      </c>
    </row>
    <row r="45" spans="1:10" x14ac:dyDescent="0.25">
      <c r="A45" s="48" t="s">
        <v>157</v>
      </c>
      <c r="B45" s="102">
        <v>871</v>
      </c>
      <c r="C45" s="101" t="s">
        <v>65</v>
      </c>
      <c r="D45" s="102" t="s">
        <v>83</v>
      </c>
      <c r="E45" s="101">
        <v>97</v>
      </c>
      <c r="F45" s="102">
        <v>2</v>
      </c>
      <c r="G45" s="101" t="s">
        <v>68</v>
      </c>
      <c r="H45" s="101" t="s">
        <v>159</v>
      </c>
      <c r="I45" s="102">
        <v>540</v>
      </c>
      <c r="J45" s="97">
        <f>135300-200</f>
        <v>135100</v>
      </c>
    </row>
    <row r="46" spans="1:10" ht="47.25" x14ac:dyDescent="0.25">
      <c r="A46" s="45" t="s">
        <v>160</v>
      </c>
      <c r="B46" s="102">
        <v>871</v>
      </c>
      <c r="C46" s="101" t="s">
        <v>65</v>
      </c>
      <c r="D46" s="102" t="s">
        <v>83</v>
      </c>
      <c r="E46" s="101">
        <v>97</v>
      </c>
      <c r="F46" s="102">
        <v>2</v>
      </c>
      <c r="G46" s="101" t="s">
        <v>68</v>
      </c>
      <c r="H46" s="101" t="s">
        <v>161</v>
      </c>
      <c r="I46" s="102"/>
      <c r="J46" s="97">
        <f>J47</f>
        <v>116300</v>
      </c>
    </row>
    <row r="47" spans="1:10" x14ac:dyDescent="0.25">
      <c r="A47" s="48" t="s">
        <v>157</v>
      </c>
      <c r="B47" s="102">
        <v>871</v>
      </c>
      <c r="C47" s="101" t="s">
        <v>65</v>
      </c>
      <c r="D47" s="102" t="s">
        <v>83</v>
      </c>
      <c r="E47" s="101">
        <v>97</v>
      </c>
      <c r="F47" s="102">
        <v>2</v>
      </c>
      <c r="G47" s="101" t="s">
        <v>68</v>
      </c>
      <c r="H47" s="101" t="s">
        <v>161</v>
      </c>
      <c r="I47" s="102">
        <v>540</v>
      </c>
      <c r="J47" s="97">
        <f>116400-100</f>
        <v>116300</v>
      </c>
    </row>
    <row r="48" spans="1:10" ht="63" x14ac:dyDescent="0.25">
      <c r="A48" s="45" t="s">
        <v>162</v>
      </c>
      <c r="B48" s="102">
        <v>871</v>
      </c>
      <c r="C48" s="101" t="s">
        <v>65</v>
      </c>
      <c r="D48" s="102" t="s">
        <v>83</v>
      </c>
      <c r="E48" s="101">
        <v>97</v>
      </c>
      <c r="F48" s="102">
        <v>2</v>
      </c>
      <c r="G48" s="101" t="s">
        <v>68</v>
      </c>
      <c r="H48" s="101" t="s">
        <v>163</v>
      </c>
      <c r="I48" s="102"/>
      <c r="J48" s="97">
        <f>J49</f>
        <v>193200</v>
      </c>
    </row>
    <row r="49" spans="1:10" x14ac:dyDescent="0.25">
      <c r="A49" s="48" t="s">
        <v>157</v>
      </c>
      <c r="B49" s="102">
        <v>871</v>
      </c>
      <c r="C49" s="101" t="s">
        <v>65</v>
      </c>
      <c r="D49" s="102" t="s">
        <v>83</v>
      </c>
      <c r="E49" s="101">
        <v>97</v>
      </c>
      <c r="F49" s="102">
        <v>2</v>
      </c>
      <c r="G49" s="101" t="s">
        <v>68</v>
      </c>
      <c r="H49" s="101" t="s">
        <v>163</v>
      </c>
      <c r="I49" s="102">
        <v>540</v>
      </c>
      <c r="J49" s="97">
        <f>193500-300</f>
        <v>193200</v>
      </c>
    </row>
    <row r="50" spans="1:10" ht="47.25" x14ac:dyDescent="0.25">
      <c r="A50" s="45" t="s">
        <v>85</v>
      </c>
      <c r="B50" s="101">
        <v>871</v>
      </c>
      <c r="C50" s="101" t="s">
        <v>65</v>
      </c>
      <c r="D50" s="101" t="s">
        <v>86</v>
      </c>
      <c r="E50" s="101"/>
      <c r="F50" s="101"/>
      <c r="G50" s="101"/>
      <c r="H50" s="101"/>
      <c r="I50" s="101"/>
      <c r="J50" s="97">
        <f>J51</f>
        <v>522600</v>
      </c>
    </row>
    <row r="51" spans="1:10" x14ac:dyDescent="0.25">
      <c r="A51" s="45" t="s">
        <v>157</v>
      </c>
      <c r="B51" s="101" t="s">
        <v>54</v>
      </c>
      <c r="C51" s="101" t="s">
        <v>65</v>
      </c>
      <c r="D51" s="101" t="s">
        <v>86</v>
      </c>
      <c r="E51" s="101" t="s">
        <v>154</v>
      </c>
      <c r="F51" s="101" t="s">
        <v>67</v>
      </c>
      <c r="G51" s="101" t="s">
        <v>68</v>
      </c>
      <c r="H51" s="101" t="s">
        <v>69</v>
      </c>
      <c r="I51" s="101"/>
      <c r="J51" s="97">
        <f>J52</f>
        <v>522600</v>
      </c>
    </row>
    <row r="52" spans="1:10" ht="63" x14ac:dyDescent="0.25">
      <c r="A52" s="45" t="s">
        <v>152</v>
      </c>
      <c r="B52" s="101" t="s">
        <v>54</v>
      </c>
      <c r="C52" s="101" t="s">
        <v>65</v>
      </c>
      <c r="D52" s="101" t="s">
        <v>86</v>
      </c>
      <c r="E52" s="101" t="s">
        <v>154</v>
      </c>
      <c r="F52" s="101" t="s">
        <v>73</v>
      </c>
      <c r="G52" s="101" t="s">
        <v>68</v>
      </c>
      <c r="H52" s="101" t="s">
        <v>69</v>
      </c>
      <c r="I52" s="101"/>
      <c r="J52" s="97">
        <f>J53</f>
        <v>522600</v>
      </c>
    </row>
    <row r="53" spans="1:10" ht="31.5" x14ac:dyDescent="0.25">
      <c r="A53" s="45" t="s">
        <v>164</v>
      </c>
      <c r="B53" s="102">
        <v>871</v>
      </c>
      <c r="C53" s="101" t="s">
        <v>65</v>
      </c>
      <c r="D53" s="101" t="s">
        <v>86</v>
      </c>
      <c r="E53" s="101">
        <v>97</v>
      </c>
      <c r="F53" s="102">
        <v>2</v>
      </c>
      <c r="G53" s="101" t="s">
        <v>68</v>
      </c>
      <c r="H53" s="101" t="s">
        <v>165</v>
      </c>
      <c r="I53" s="102"/>
      <c r="J53" s="97">
        <f>J54</f>
        <v>522600</v>
      </c>
    </row>
    <row r="54" spans="1:10" x14ac:dyDescent="0.25">
      <c r="A54" s="48" t="s">
        <v>157</v>
      </c>
      <c r="B54" s="102">
        <v>871</v>
      </c>
      <c r="C54" s="101" t="s">
        <v>65</v>
      </c>
      <c r="D54" s="101" t="s">
        <v>86</v>
      </c>
      <c r="E54" s="101">
        <v>97</v>
      </c>
      <c r="F54" s="102">
        <v>2</v>
      </c>
      <c r="G54" s="101" t="s">
        <v>68</v>
      </c>
      <c r="H54" s="101" t="s">
        <v>165</v>
      </c>
      <c r="I54" s="102">
        <v>540</v>
      </c>
      <c r="J54" s="97">
        <f>523400-800</f>
        <v>522600</v>
      </c>
    </row>
    <row r="55" spans="1:10" x14ac:dyDescent="0.25">
      <c r="A55" s="45" t="s">
        <v>87</v>
      </c>
      <c r="B55" s="102">
        <v>871</v>
      </c>
      <c r="C55" s="101" t="s">
        <v>65</v>
      </c>
      <c r="D55" s="101" t="s">
        <v>88</v>
      </c>
      <c r="E55" s="101"/>
      <c r="F55" s="102"/>
      <c r="G55" s="101"/>
      <c r="H55" s="101"/>
      <c r="I55" s="102"/>
      <c r="J55" s="97">
        <f>J56</f>
        <v>899025</v>
      </c>
    </row>
    <row r="56" spans="1:10" ht="31.5" x14ac:dyDescent="0.25">
      <c r="A56" s="49" t="s">
        <v>166</v>
      </c>
      <c r="B56" s="102">
        <v>871</v>
      </c>
      <c r="C56" s="101" t="s">
        <v>65</v>
      </c>
      <c r="D56" s="101" t="s">
        <v>88</v>
      </c>
      <c r="E56" s="102">
        <v>93</v>
      </c>
      <c r="F56" s="101" t="s">
        <v>70</v>
      </c>
      <c r="G56" s="101" t="s">
        <v>68</v>
      </c>
      <c r="H56" s="101" t="s">
        <v>69</v>
      </c>
      <c r="I56" s="102"/>
      <c r="J56" s="97">
        <f>J57</f>
        <v>899025</v>
      </c>
    </row>
    <row r="57" spans="1:10" ht="63" x14ac:dyDescent="0.25">
      <c r="A57" s="49" t="s">
        <v>167</v>
      </c>
      <c r="B57" s="102">
        <v>871</v>
      </c>
      <c r="C57" s="101" t="s">
        <v>65</v>
      </c>
      <c r="D57" s="101" t="s">
        <v>88</v>
      </c>
      <c r="E57" s="102">
        <v>93</v>
      </c>
      <c r="F57" s="101" t="s">
        <v>70</v>
      </c>
      <c r="G57" s="101" t="s">
        <v>68</v>
      </c>
      <c r="H57" s="101" t="s">
        <v>168</v>
      </c>
      <c r="I57" s="102"/>
      <c r="J57" s="97">
        <f>J58</f>
        <v>899025</v>
      </c>
    </row>
    <row r="58" spans="1:10" x14ac:dyDescent="0.25">
      <c r="A58" s="45" t="s">
        <v>89</v>
      </c>
      <c r="B58" s="102">
        <v>871</v>
      </c>
      <c r="C58" s="101" t="s">
        <v>65</v>
      </c>
      <c r="D58" s="101" t="s">
        <v>88</v>
      </c>
      <c r="E58" s="102">
        <v>93</v>
      </c>
      <c r="F58" s="101" t="s">
        <v>70</v>
      </c>
      <c r="G58" s="101" t="s">
        <v>68</v>
      </c>
      <c r="H58" s="101" t="s">
        <v>168</v>
      </c>
      <c r="I58" s="102">
        <v>880</v>
      </c>
      <c r="J58" s="97">
        <f>450900+448125</f>
        <v>899025</v>
      </c>
    </row>
    <row r="59" spans="1:10" x14ac:dyDescent="0.25">
      <c r="A59" s="44" t="s">
        <v>93</v>
      </c>
      <c r="B59" s="102">
        <v>871</v>
      </c>
      <c r="C59" s="101" t="s">
        <v>65</v>
      </c>
      <c r="D59" s="102">
        <v>11</v>
      </c>
      <c r="E59" s="101"/>
      <c r="F59" s="102"/>
      <c r="G59" s="101"/>
      <c r="H59" s="101"/>
      <c r="I59" s="102" t="s">
        <v>135</v>
      </c>
      <c r="J59" s="96">
        <f>J60</f>
        <v>2000000</v>
      </c>
    </row>
    <row r="60" spans="1:10" x14ac:dyDescent="0.25">
      <c r="A60" s="44" t="s">
        <v>93</v>
      </c>
      <c r="B60" s="102">
        <v>871</v>
      </c>
      <c r="C60" s="101" t="s">
        <v>65</v>
      </c>
      <c r="D60" s="102">
        <v>11</v>
      </c>
      <c r="E60" s="101">
        <v>94</v>
      </c>
      <c r="F60" s="102">
        <v>0</v>
      </c>
      <c r="G60" s="101" t="s">
        <v>68</v>
      </c>
      <c r="H60" s="101" t="s">
        <v>69</v>
      </c>
      <c r="I60" s="102"/>
      <c r="J60" s="96">
        <f>J61</f>
        <v>2000000</v>
      </c>
    </row>
    <row r="61" spans="1:10" x14ac:dyDescent="0.25">
      <c r="A61" s="44" t="s">
        <v>169</v>
      </c>
      <c r="B61" s="102">
        <v>871</v>
      </c>
      <c r="C61" s="101" t="s">
        <v>65</v>
      </c>
      <c r="D61" s="102">
        <v>11</v>
      </c>
      <c r="E61" s="101">
        <v>94</v>
      </c>
      <c r="F61" s="102">
        <v>1</v>
      </c>
      <c r="G61" s="101" t="s">
        <v>68</v>
      </c>
      <c r="H61" s="101" t="s">
        <v>69</v>
      </c>
      <c r="I61" s="102" t="s">
        <v>135</v>
      </c>
      <c r="J61" s="96">
        <f>J62</f>
        <v>2000000</v>
      </c>
    </row>
    <row r="62" spans="1:10" x14ac:dyDescent="0.25">
      <c r="A62" s="44" t="s">
        <v>169</v>
      </c>
      <c r="B62" s="102">
        <v>871</v>
      </c>
      <c r="C62" s="101" t="s">
        <v>65</v>
      </c>
      <c r="D62" s="102">
        <v>11</v>
      </c>
      <c r="E62" s="101">
        <v>94</v>
      </c>
      <c r="F62" s="102">
        <v>1</v>
      </c>
      <c r="G62" s="101" t="s">
        <v>68</v>
      </c>
      <c r="H62" s="101" t="s">
        <v>170</v>
      </c>
      <c r="I62" s="102"/>
      <c r="J62" s="96">
        <f>J63</f>
        <v>2000000</v>
      </c>
    </row>
    <row r="63" spans="1:10" x14ac:dyDescent="0.25">
      <c r="A63" s="44" t="s">
        <v>95</v>
      </c>
      <c r="B63" s="102">
        <v>871</v>
      </c>
      <c r="C63" s="101" t="s">
        <v>65</v>
      </c>
      <c r="D63" s="102">
        <v>11</v>
      </c>
      <c r="E63" s="101">
        <v>94</v>
      </c>
      <c r="F63" s="102">
        <v>1</v>
      </c>
      <c r="G63" s="101" t="s">
        <v>68</v>
      </c>
      <c r="H63" s="101" t="s">
        <v>170</v>
      </c>
      <c r="I63" s="101" t="s">
        <v>96</v>
      </c>
      <c r="J63" s="96">
        <f>4635000-2635000</f>
        <v>2000000</v>
      </c>
    </row>
    <row r="64" spans="1:10" x14ac:dyDescent="0.25">
      <c r="A64" s="44" t="s">
        <v>98</v>
      </c>
      <c r="B64" s="102">
        <v>871</v>
      </c>
      <c r="C64" s="101" t="s">
        <v>65</v>
      </c>
      <c r="D64" s="102">
        <v>13</v>
      </c>
      <c r="E64" s="101"/>
      <c r="F64" s="102"/>
      <c r="G64" s="101"/>
      <c r="H64" s="101"/>
      <c r="I64" s="102"/>
      <c r="J64" s="97">
        <f>J65+J80+J100+J106+J110+J117+J124+J130</f>
        <v>16853666.710000001</v>
      </c>
    </row>
    <row r="65" spans="1:10" ht="47.25" x14ac:dyDescent="0.25">
      <c r="A65" s="44" t="s">
        <v>171</v>
      </c>
      <c r="B65" s="102">
        <v>871</v>
      </c>
      <c r="C65" s="101" t="s">
        <v>65</v>
      </c>
      <c r="D65" s="102">
        <v>13</v>
      </c>
      <c r="E65" s="101" t="s">
        <v>65</v>
      </c>
      <c r="F65" s="102">
        <v>0</v>
      </c>
      <c r="G65" s="101" t="s">
        <v>68</v>
      </c>
      <c r="H65" s="101" t="s">
        <v>69</v>
      </c>
      <c r="I65" s="102"/>
      <c r="J65" s="97">
        <f>J66+J77</f>
        <v>13923239.75</v>
      </c>
    </row>
    <row r="66" spans="1:10" x14ac:dyDescent="0.25">
      <c r="A66" s="44" t="s">
        <v>172</v>
      </c>
      <c r="B66" s="102">
        <v>871</v>
      </c>
      <c r="C66" s="101" t="s">
        <v>65</v>
      </c>
      <c r="D66" s="102">
        <v>13</v>
      </c>
      <c r="E66" s="101" t="s">
        <v>65</v>
      </c>
      <c r="F66" s="102">
        <v>1</v>
      </c>
      <c r="G66" s="101" t="s">
        <v>68</v>
      </c>
      <c r="H66" s="101" t="s">
        <v>69</v>
      </c>
      <c r="I66" s="102"/>
      <c r="J66" s="97">
        <f>J67+J69+J71+J73+J75</f>
        <v>13613239.75</v>
      </c>
    </row>
    <row r="67" spans="1:10" hidden="1" x14ac:dyDescent="0.25">
      <c r="A67" s="45" t="s">
        <v>400</v>
      </c>
      <c r="B67" s="102">
        <v>871</v>
      </c>
      <c r="C67" s="101" t="s">
        <v>65</v>
      </c>
      <c r="D67" s="102">
        <v>13</v>
      </c>
      <c r="E67" s="101" t="s">
        <v>65</v>
      </c>
      <c r="F67" s="102">
        <v>1</v>
      </c>
      <c r="G67" s="101" t="s">
        <v>68</v>
      </c>
      <c r="H67" s="101" t="s">
        <v>401</v>
      </c>
      <c r="I67" s="102"/>
      <c r="J67" s="97">
        <f>J68</f>
        <v>0</v>
      </c>
    </row>
    <row r="68" spans="1:10" ht="31.5" hidden="1" x14ac:dyDescent="0.25">
      <c r="A68" s="45" t="s">
        <v>75</v>
      </c>
      <c r="B68" s="102">
        <v>871</v>
      </c>
      <c r="C68" s="101" t="s">
        <v>65</v>
      </c>
      <c r="D68" s="102">
        <v>13</v>
      </c>
      <c r="E68" s="101" t="s">
        <v>65</v>
      </c>
      <c r="F68" s="102">
        <v>1</v>
      </c>
      <c r="G68" s="101" t="s">
        <v>68</v>
      </c>
      <c r="H68" s="101" t="s">
        <v>401</v>
      </c>
      <c r="I68" s="102">
        <v>240</v>
      </c>
      <c r="J68" s="97"/>
    </row>
    <row r="69" spans="1:10" x14ac:dyDescent="0.25">
      <c r="A69" s="45" t="s">
        <v>173</v>
      </c>
      <c r="B69" s="102">
        <v>871</v>
      </c>
      <c r="C69" s="101" t="s">
        <v>65</v>
      </c>
      <c r="D69" s="102">
        <v>13</v>
      </c>
      <c r="E69" s="101" t="s">
        <v>65</v>
      </c>
      <c r="F69" s="102">
        <v>1</v>
      </c>
      <c r="G69" s="101" t="s">
        <v>68</v>
      </c>
      <c r="H69" s="101" t="s">
        <v>174</v>
      </c>
      <c r="I69" s="102"/>
      <c r="J69" s="97">
        <f>J70</f>
        <v>7478797.8499999996</v>
      </c>
    </row>
    <row r="70" spans="1:10" ht="31.5" x14ac:dyDescent="0.25">
      <c r="A70" s="45" t="s">
        <v>75</v>
      </c>
      <c r="B70" s="102">
        <v>871</v>
      </c>
      <c r="C70" s="101" t="s">
        <v>65</v>
      </c>
      <c r="D70" s="102">
        <v>13</v>
      </c>
      <c r="E70" s="101" t="s">
        <v>65</v>
      </c>
      <c r="F70" s="102">
        <v>1</v>
      </c>
      <c r="G70" s="101" t="s">
        <v>68</v>
      </c>
      <c r="H70" s="101" t="s">
        <v>174</v>
      </c>
      <c r="I70" s="102">
        <v>240</v>
      </c>
      <c r="J70" s="97">
        <f>2748797.85-140000+1900000+380000+350000+2240000-500000+500000</f>
        <v>7478797.8499999996</v>
      </c>
    </row>
    <row r="71" spans="1:10" ht="31.5" x14ac:dyDescent="0.25">
      <c r="A71" s="45" t="s">
        <v>175</v>
      </c>
      <c r="B71" s="102">
        <v>871</v>
      </c>
      <c r="C71" s="101" t="s">
        <v>65</v>
      </c>
      <c r="D71" s="102">
        <v>13</v>
      </c>
      <c r="E71" s="101" t="s">
        <v>65</v>
      </c>
      <c r="F71" s="102">
        <v>1</v>
      </c>
      <c r="G71" s="101" t="s">
        <v>68</v>
      </c>
      <c r="H71" s="101" t="s">
        <v>176</v>
      </c>
      <c r="I71" s="102"/>
      <c r="J71" s="97">
        <f>J72</f>
        <v>2500000</v>
      </c>
    </row>
    <row r="72" spans="1:10" ht="31.5" x14ac:dyDescent="0.25">
      <c r="A72" s="45" t="s">
        <v>75</v>
      </c>
      <c r="B72" s="102">
        <v>871</v>
      </c>
      <c r="C72" s="101" t="s">
        <v>65</v>
      </c>
      <c r="D72" s="102">
        <v>13</v>
      </c>
      <c r="E72" s="101" t="s">
        <v>65</v>
      </c>
      <c r="F72" s="102">
        <v>1</v>
      </c>
      <c r="G72" s="101" t="s">
        <v>68</v>
      </c>
      <c r="H72" s="101" t="s">
        <v>176</v>
      </c>
      <c r="I72" s="102">
        <v>240</v>
      </c>
      <c r="J72" s="97">
        <f>1500000+140000+2500000-1640000</f>
        <v>2500000</v>
      </c>
    </row>
    <row r="73" spans="1:10" x14ac:dyDescent="0.25">
      <c r="A73" s="45" t="s">
        <v>451</v>
      </c>
      <c r="B73" s="124">
        <v>871</v>
      </c>
      <c r="C73" s="123" t="s">
        <v>65</v>
      </c>
      <c r="D73" s="124">
        <v>13</v>
      </c>
      <c r="E73" s="123" t="s">
        <v>65</v>
      </c>
      <c r="F73" s="124">
        <v>1</v>
      </c>
      <c r="G73" s="123" t="s">
        <v>68</v>
      </c>
      <c r="H73" s="123" t="s">
        <v>452</v>
      </c>
      <c r="I73" s="124"/>
      <c r="J73" s="97">
        <f>J74</f>
        <v>3500000</v>
      </c>
    </row>
    <row r="74" spans="1:10" ht="31.5" x14ac:dyDescent="0.25">
      <c r="A74" s="45" t="s">
        <v>75</v>
      </c>
      <c r="B74" s="124">
        <v>871</v>
      </c>
      <c r="C74" s="123" t="s">
        <v>65</v>
      </c>
      <c r="D74" s="124">
        <v>13</v>
      </c>
      <c r="E74" s="123" t="s">
        <v>65</v>
      </c>
      <c r="F74" s="124">
        <v>1</v>
      </c>
      <c r="G74" s="123" t="s">
        <v>68</v>
      </c>
      <c r="H74" s="123" t="s">
        <v>452</v>
      </c>
      <c r="I74" s="124">
        <v>240</v>
      </c>
      <c r="J74" s="97">
        <f>3000000+500000</f>
        <v>3500000</v>
      </c>
    </row>
    <row r="75" spans="1:10" x14ac:dyDescent="0.25">
      <c r="A75" s="45" t="s">
        <v>177</v>
      </c>
      <c r="B75" s="102">
        <v>871</v>
      </c>
      <c r="C75" s="101" t="s">
        <v>65</v>
      </c>
      <c r="D75" s="102">
        <v>13</v>
      </c>
      <c r="E75" s="101" t="s">
        <v>65</v>
      </c>
      <c r="F75" s="102">
        <v>1</v>
      </c>
      <c r="G75" s="101" t="s">
        <v>68</v>
      </c>
      <c r="H75" s="101" t="s">
        <v>178</v>
      </c>
      <c r="I75" s="102"/>
      <c r="J75" s="97">
        <f>J76</f>
        <v>134441.9</v>
      </c>
    </row>
    <row r="76" spans="1:10" ht="31.5" x14ac:dyDescent="0.25">
      <c r="A76" s="45" t="s">
        <v>75</v>
      </c>
      <c r="B76" s="102">
        <v>871</v>
      </c>
      <c r="C76" s="101" t="s">
        <v>65</v>
      </c>
      <c r="D76" s="102">
        <v>13</v>
      </c>
      <c r="E76" s="101" t="s">
        <v>65</v>
      </c>
      <c r="F76" s="102">
        <v>1</v>
      </c>
      <c r="G76" s="101" t="s">
        <v>68</v>
      </c>
      <c r="H76" s="101" t="s">
        <v>178</v>
      </c>
      <c r="I76" s="102">
        <v>240</v>
      </c>
      <c r="J76" s="97">
        <f>234441.9-100000</f>
        <v>134441.9</v>
      </c>
    </row>
    <row r="77" spans="1:10" ht="31.5" x14ac:dyDescent="0.25">
      <c r="A77" s="45" t="s">
        <v>179</v>
      </c>
      <c r="B77" s="102">
        <v>871</v>
      </c>
      <c r="C77" s="101" t="s">
        <v>65</v>
      </c>
      <c r="D77" s="102">
        <v>13</v>
      </c>
      <c r="E77" s="101" t="s">
        <v>65</v>
      </c>
      <c r="F77" s="102">
        <v>2</v>
      </c>
      <c r="G77" s="101" t="s">
        <v>68</v>
      </c>
      <c r="H77" s="101" t="s">
        <v>69</v>
      </c>
      <c r="I77" s="102"/>
      <c r="J77" s="97">
        <f>J78</f>
        <v>310000</v>
      </c>
    </row>
    <row r="78" spans="1:10" ht="31.5" x14ac:dyDescent="0.25">
      <c r="A78" s="45" t="s">
        <v>180</v>
      </c>
      <c r="B78" s="102">
        <v>871</v>
      </c>
      <c r="C78" s="101" t="s">
        <v>65</v>
      </c>
      <c r="D78" s="102">
        <v>13</v>
      </c>
      <c r="E78" s="101" t="s">
        <v>65</v>
      </c>
      <c r="F78" s="102">
        <v>2</v>
      </c>
      <c r="G78" s="101" t="s">
        <v>68</v>
      </c>
      <c r="H78" s="101" t="s">
        <v>181</v>
      </c>
      <c r="I78" s="102"/>
      <c r="J78" s="97">
        <f>J79</f>
        <v>310000</v>
      </c>
    </row>
    <row r="79" spans="1:10" ht="31.5" x14ac:dyDescent="0.25">
      <c r="A79" s="45" t="s">
        <v>75</v>
      </c>
      <c r="B79" s="102">
        <v>871</v>
      </c>
      <c r="C79" s="101" t="s">
        <v>65</v>
      </c>
      <c r="D79" s="102">
        <v>13</v>
      </c>
      <c r="E79" s="101" t="s">
        <v>65</v>
      </c>
      <c r="F79" s="102">
        <v>2</v>
      </c>
      <c r="G79" s="101" t="s">
        <v>68</v>
      </c>
      <c r="H79" s="101" t="s">
        <v>181</v>
      </c>
      <c r="I79" s="102">
        <v>240</v>
      </c>
      <c r="J79" s="97">
        <v>310000</v>
      </c>
    </row>
    <row r="80" spans="1:10" ht="47.25" x14ac:dyDescent="0.25">
      <c r="A80" s="44" t="s">
        <v>182</v>
      </c>
      <c r="B80" s="102">
        <v>871</v>
      </c>
      <c r="C80" s="101" t="s">
        <v>65</v>
      </c>
      <c r="D80" s="102">
        <v>13</v>
      </c>
      <c r="E80" s="101" t="s">
        <v>88</v>
      </c>
      <c r="F80" s="102">
        <v>0</v>
      </c>
      <c r="G80" s="101" t="s">
        <v>68</v>
      </c>
      <c r="H80" s="101" t="s">
        <v>69</v>
      </c>
      <c r="I80" s="102"/>
      <c r="J80" s="97">
        <f>J81</f>
        <v>1312736</v>
      </c>
    </row>
    <row r="81" spans="1:10" ht="31.5" x14ac:dyDescent="0.25">
      <c r="A81" s="44" t="s">
        <v>183</v>
      </c>
      <c r="B81" s="102">
        <v>871</v>
      </c>
      <c r="C81" s="101" t="s">
        <v>65</v>
      </c>
      <c r="D81" s="102">
        <v>13</v>
      </c>
      <c r="E81" s="101" t="s">
        <v>88</v>
      </c>
      <c r="F81" s="102">
        <v>1</v>
      </c>
      <c r="G81" s="101" t="s">
        <v>68</v>
      </c>
      <c r="H81" s="101" t="s">
        <v>69</v>
      </c>
      <c r="I81" s="102"/>
      <c r="J81" s="97">
        <f>J82+J85+J88+J91+J94+J97</f>
        <v>1312736</v>
      </c>
    </row>
    <row r="82" spans="1:10" x14ac:dyDescent="0.25">
      <c r="A82" s="44" t="s">
        <v>184</v>
      </c>
      <c r="B82" s="102">
        <v>871</v>
      </c>
      <c r="C82" s="101" t="s">
        <v>65</v>
      </c>
      <c r="D82" s="102">
        <v>13</v>
      </c>
      <c r="E82" s="101" t="s">
        <v>88</v>
      </c>
      <c r="F82" s="102">
        <v>1</v>
      </c>
      <c r="G82" s="101" t="s">
        <v>65</v>
      </c>
      <c r="H82" s="101" t="s">
        <v>69</v>
      </c>
      <c r="I82" s="102"/>
      <c r="J82" s="97">
        <f>J83</f>
        <v>283760.94</v>
      </c>
    </row>
    <row r="83" spans="1:10" ht="47.25" x14ac:dyDescent="0.25">
      <c r="A83" s="45" t="s">
        <v>185</v>
      </c>
      <c r="B83" s="102">
        <v>871</v>
      </c>
      <c r="C83" s="101" t="s">
        <v>65</v>
      </c>
      <c r="D83" s="101" t="s">
        <v>99</v>
      </c>
      <c r="E83" s="101" t="s">
        <v>88</v>
      </c>
      <c r="F83" s="101" t="s">
        <v>70</v>
      </c>
      <c r="G83" s="101" t="s">
        <v>65</v>
      </c>
      <c r="H83" s="101" t="s">
        <v>186</v>
      </c>
      <c r="I83" s="101"/>
      <c r="J83" s="97">
        <f>J84</f>
        <v>283760.94</v>
      </c>
    </row>
    <row r="84" spans="1:10" ht="31.5" x14ac:dyDescent="0.25">
      <c r="A84" s="45" t="s">
        <v>75</v>
      </c>
      <c r="B84" s="102">
        <v>871</v>
      </c>
      <c r="C84" s="101" t="s">
        <v>65</v>
      </c>
      <c r="D84" s="101" t="s">
        <v>99</v>
      </c>
      <c r="E84" s="101" t="s">
        <v>88</v>
      </c>
      <c r="F84" s="101" t="s">
        <v>70</v>
      </c>
      <c r="G84" s="101" t="s">
        <v>65</v>
      </c>
      <c r="H84" s="101" t="s">
        <v>186</v>
      </c>
      <c r="I84" s="101" t="s">
        <v>76</v>
      </c>
      <c r="J84" s="97">
        <f>266500+17260.94</f>
        <v>283760.94</v>
      </c>
    </row>
    <row r="85" spans="1:10" ht="31.5" x14ac:dyDescent="0.25">
      <c r="A85" s="44" t="s">
        <v>187</v>
      </c>
      <c r="B85" s="102">
        <v>871</v>
      </c>
      <c r="C85" s="101" t="s">
        <v>65</v>
      </c>
      <c r="D85" s="102">
        <v>13</v>
      </c>
      <c r="E85" s="101" t="s">
        <v>88</v>
      </c>
      <c r="F85" s="102">
        <v>1</v>
      </c>
      <c r="G85" s="101" t="s">
        <v>66</v>
      </c>
      <c r="H85" s="101" t="s">
        <v>69</v>
      </c>
      <c r="I85" s="102"/>
      <c r="J85" s="97">
        <f>J86</f>
        <v>17880</v>
      </c>
    </row>
    <row r="86" spans="1:10" ht="47.25" x14ac:dyDescent="0.25">
      <c r="A86" s="45" t="s">
        <v>185</v>
      </c>
      <c r="B86" s="102">
        <v>871</v>
      </c>
      <c r="C86" s="101" t="s">
        <v>65</v>
      </c>
      <c r="D86" s="101" t="s">
        <v>99</v>
      </c>
      <c r="E86" s="101" t="s">
        <v>88</v>
      </c>
      <c r="F86" s="101" t="s">
        <v>70</v>
      </c>
      <c r="G86" s="101" t="s">
        <v>66</v>
      </c>
      <c r="H86" s="101" t="s">
        <v>186</v>
      </c>
      <c r="I86" s="101"/>
      <c r="J86" s="97">
        <f>J87</f>
        <v>17880</v>
      </c>
    </row>
    <row r="87" spans="1:10" ht="31.5" x14ac:dyDescent="0.25">
      <c r="A87" s="45" t="s">
        <v>75</v>
      </c>
      <c r="B87" s="102">
        <v>871</v>
      </c>
      <c r="C87" s="101" t="s">
        <v>65</v>
      </c>
      <c r="D87" s="101" t="s">
        <v>99</v>
      </c>
      <c r="E87" s="101" t="s">
        <v>88</v>
      </c>
      <c r="F87" s="101" t="s">
        <v>70</v>
      </c>
      <c r="G87" s="101" t="s">
        <v>66</v>
      </c>
      <c r="H87" s="101" t="s">
        <v>186</v>
      </c>
      <c r="I87" s="101" t="s">
        <v>76</v>
      </c>
      <c r="J87" s="97">
        <f>40000-22120</f>
        <v>17880</v>
      </c>
    </row>
    <row r="88" spans="1:10" x14ac:dyDescent="0.25">
      <c r="A88" s="44" t="s">
        <v>188</v>
      </c>
      <c r="B88" s="102">
        <v>871</v>
      </c>
      <c r="C88" s="101" t="s">
        <v>65</v>
      </c>
      <c r="D88" s="102">
        <v>13</v>
      </c>
      <c r="E88" s="101" t="s">
        <v>88</v>
      </c>
      <c r="F88" s="102">
        <v>1</v>
      </c>
      <c r="G88" s="101" t="s">
        <v>72</v>
      </c>
      <c r="H88" s="101" t="s">
        <v>69</v>
      </c>
      <c r="I88" s="102"/>
      <c r="J88" s="97">
        <f>J89</f>
        <v>922036</v>
      </c>
    </row>
    <row r="89" spans="1:10" ht="47.25" x14ac:dyDescent="0.25">
      <c r="A89" s="45" t="s">
        <v>185</v>
      </c>
      <c r="B89" s="102">
        <v>871</v>
      </c>
      <c r="C89" s="101" t="s">
        <v>65</v>
      </c>
      <c r="D89" s="101" t="s">
        <v>99</v>
      </c>
      <c r="E89" s="101" t="s">
        <v>88</v>
      </c>
      <c r="F89" s="101" t="s">
        <v>70</v>
      </c>
      <c r="G89" s="101" t="s">
        <v>72</v>
      </c>
      <c r="H89" s="101" t="s">
        <v>186</v>
      </c>
      <c r="I89" s="101"/>
      <c r="J89" s="97">
        <f>J90</f>
        <v>922036</v>
      </c>
    </row>
    <row r="90" spans="1:10" ht="31.5" x14ac:dyDescent="0.25">
      <c r="A90" s="45" t="s">
        <v>75</v>
      </c>
      <c r="B90" s="102">
        <v>871</v>
      </c>
      <c r="C90" s="101" t="s">
        <v>65</v>
      </c>
      <c r="D90" s="101" t="s">
        <v>99</v>
      </c>
      <c r="E90" s="101" t="s">
        <v>88</v>
      </c>
      <c r="F90" s="101" t="s">
        <v>70</v>
      </c>
      <c r="G90" s="101" t="s">
        <v>72</v>
      </c>
      <c r="H90" s="101" t="s">
        <v>186</v>
      </c>
      <c r="I90" s="101" t="s">
        <v>76</v>
      </c>
      <c r="J90" s="97">
        <f>922036</f>
        <v>922036</v>
      </c>
    </row>
    <row r="91" spans="1:10" x14ac:dyDescent="0.25">
      <c r="A91" s="44" t="s">
        <v>189</v>
      </c>
      <c r="B91" s="102">
        <v>871</v>
      </c>
      <c r="C91" s="101" t="s">
        <v>65</v>
      </c>
      <c r="D91" s="102">
        <v>13</v>
      </c>
      <c r="E91" s="101" t="s">
        <v>88</v>
      </c>
      <c r="F91" s="102">
        <v>1</v>
      </c>
      <c r="G91" s="101" t="s">
        <v>83</v>
      </c>
      <c r="H91" s="101" t="s">
        <v>69</v>
      </c>
      <c r="I91" s="102"/>
      <c r="J91" s="97">
        <f>J92</f>
        <v>69059.06</v>
      </c>
    </row>
    <row r="92" spans="1:10" ht="47.25" x14ac:dyDescent="0.25">
      <c r="A92" s="45" t="s">
        <v>185</v>
      </c>
      <c r="B92" s="102">
        <v>871</v>
      </c>
      <c r="C92" s="101" t="s">
        <v>65</v>
      </c>
      <c r="D92" s="101" t="s">
        <v>99</v>
      </c>
      <c r="E92" s="101" t="s">
        <v>88</v>
      </c>
      <c r="F92" s="101" t="s">
        <v>70</v>
      </c>
      <c r="G92" s="101" t="s">
        <v>83</v>
      </c>
      <c r="H92" s="101" t="s">
        <v>186</v>
      </c>
      <c r="I92" s="101"/>
      <c r="J92" s="97">
        <f>J93</f>
        <v>69059.06</v>
      </c>
    </row>
    <row r="93" spans="1:10" ht="31.5" x14ac:dyDescent="0.25">
      <c r="A93" s="45" t="s">
        <v>75</v>
      </c>
      <c r="B93" s="102">
        <v>871</v>
      </c>
      <c r="C93" s="101" t="s">
        <v>65</v>
      </c>
      <c r="D93" s="101" t="s">
        <v>99</v>
      </c>
      <c r="E93" s="101" t="s">
        <v>88</v>
      </c>
      <c r="F93" s="101" t="s">
        <v>70</v>
      </c>
      <c r="G93" s="101" t="s">
        <v>83</v>
      </c>
      <c r="H93" s="101" t="s">
        <v>186</v>
      </c>
      <c r="I93" s="101" t="s">
        <v>76</v>
      </c>
      <c r="J93" s="97">
        <f>64200+4859.06</f>
        <v>69059.06</v>
      </c>
    </row>
    <row r="94" spans="1:10" ht="47.25" x14ac:dyDescent="0.25">
      <c r="A94" s="44" t="s">
        <v>190</v>
      </c>
      <c r="B94" s="102">
        <v>871</v>
      </c>
      <c r="C94" s="101" t="s">
        <v>65</v>
      </c>
      <c r="D94" s="102">
        <v>13</v>
      </c>
      <c r="E94" s="101" t="s">
        <v>88</v>
      </c>
      <c r="F94" s="102">
        <v>1</v>
      </c>
      <c r="G94" s="101" t="s">
        <v>84</v>
      </c>
      <c r="H94" s="101" t="s">
        <v>69</v>
      </c>
      <c r="I94" s="102"/>
      <c r="J94" s="97">
        <f>J95</f>
        <v>20000</v>
      </c>
    </row>
    <row r="95" spans="1:10" ht="47.25" x14ac:dyDescent="0.25">
      <c r="A95" s="45" t="s">
        <v>185</v>
      </c>
      <c r="B95" s="102">
        <v>871</v>
      </c>
      <c r="C95" s="101" t="s">
        <v>65</v>
      </c>
      <c r="D95" s="101" t="s">
        <v>99</v>
      </c>
      <c r="E95" s="101" t="s">
        <v>88</v>
      </c>
      <c r="F95" s="101" t="s">
        <v>70</v>
      </c>
      <c r="G95" s="101" t="s">
        <v>84</v>
      </c>
      <c r="H95" s="101" t="s">
        <v>186</v>
      </c>
      <c r="I95" s="101"/>
      <c r="J95" s="97">
        <f>J96</f>
        <v>20000</v>
      </c>
    </row>
    <row r="96" spans="1:10" ht="31.5" x14ac:dyDescent="0.25">
      <c r="A96" s="45" t="s">
        <v>75</v>
      </c>
      <c r="B96" s="102">
        <v>871</v>
      </c>
      <c r="C96" s="101" t="s">
        <v>65</v>
      </c>
      <c r="D96" s="101" t="s">
        <v>99</v>
      </c>
      <c r="E96" s="101" t="s">
        <v>88</v>
      </c>
      <c r="F96" s="101" t="s">
        <v>70</v>
      </c>
      <c r="G96" s="101" t="s">
        <v>84</v>
      </c>
      <c r="H96" s="101" t="s">
        <v>186</v>
      </c>
      <c r="I96" s="101" t="s">
        <v>76</v>
      </c>
      <c r="J96" s="97">
        <v>20000</v>
      </c>
    </row>
    <row r="97" spans="1:10" hidden="1" x14ac:dyDescent="0.25">
      <c r="A97" s="44" t="s">
        <v>191</v>
      </c>
      <c r="B97" s="102">
        <v>871</v>
      </c>
      <c r="C97" s="101" t="s">
        <v>65</v>
      </c>
      <c r="D97" s="102">
        <v>13</v>
      </c>
      <c r="E97" s="101" t="s">
        <v>88</v>
      </c>
      <c r="F97" s="102">
        <v>1</v>
      </c>
      <c r="G97" s="101" t="s">
        <v>86</v>
      </c>
      <c r="H97" s="101" t="s">
        <v>69</v>
      </c>
      <c r="I97" s="102"/>
      <c r="J97" s="97">
        <f>J98</f>
        <v>0</v>
      </c>
    </row>
    <row r="98" spans="1:10" ht="47.25" hidden="1" x14ac:dyDescent="0.25">
      <c r="A98" s="45" t="s">
        <v>185</v>
      </c>
      <c r="B98" s="102">
        <v>871</v>
      </c>
      <c r="C98" s="101" t="s">
        <v>65</v>
      </c>
      <c r="D98" s="101" t="s">
        <v>99</v>
      </c>
      <c r="E98" s="101" t="s">
        <v>88</v>
      </c>
      <c r="F98" s="101" t="s">
        <v>70</v>
      </c>
      <c r="G98" s="101" t="s">
        <v>86</v>
      </c>
      <c r="H98" s="101" t="s">
        <v>186</v>
      </c>
      <c r="I98" s="101"/>
      <c r="J98" s="97">
        <f>J99</f>
        <v>0</v>
      </c>
    </row>
    <row r="99" spans="1:10" ht="31.5" hidden="1" x14ac:dyDescent="0.25">
      <c r="A99" s="45" t="s">
        <v>75</v>
      </c>
      <c r="B99" s="102">
        <v>871</v>
      </c>
      <c r="C99" s="101" t="s">
        <v>65</v>
      </c>
      <c r="D99" s="101" t="s">
        <v>99</v>
      </c>
      <c r="E99" s="101" t="s">
        <v>88</v>
      </c>
      <c r="F99" s="101" t="s">
        <v>70</v>
      </c>
      <c r="G99" s="101" t="s">
        <v>86</v>
      </c>
      <c r="H99" s="101" t="s">
        <v>186</v>
      </c>
      <c r="I99" s="101" t="s">
        <v>76</v>
      </c>
      <c r="J99" s="97">
        <v>0</v>
      </c>
    </row>
    <row r="100" spans="1:10" ht="47.25" x14ac:dyDescent="0.25">
      <c r="A100" s="44" t="s">
        <v>192</v>
      </c>
      <c r="B100" s="102">
        <v>871</v>
      </c>
      <c r="C100" s="101" t="s">
        <v>65</v>
      </c>
      <c r="D100" s="102">
        <v>13</v>
      </c>
      <c r="E100" s="101" t="s">
        <v>112</v>
      </c>
      <c r="F100" s="102">
        <v>0</v>
      </c>
      <c r="G100" s="101" t="s">
        <v>68</v>
      </c>
      <c r="H100" s="101" t="s">
        <v>69</v>
      </c>
      <c r="I100" s="102"/>
      <c r="J100" s="97">
        <f>J101</f>
        <v>12000</v>
      </c>
    </row>
    <row r="101" spans="1:10" ht="47.25" x14ac:dyDescent="0.25">
      <c r="A101" s="44" t="s">
        <v>193</v>
      </c>
      <c r="B101" s="102">
        <v>871</v>
      </c>
      <c r="C101" s="101" t="s">
        <v>65</v>
      </c>
      <c r="D101" s="102">
        <v>13</v>
      </c>
      <c r="E101" s="101" t="s">
        <v>112</v>
      </c>
      <c r="F101" s="102">
        <v>0</v>
      </c>
      <c r="G101" s="101" t="s">
        <v>68</v>
      </c>
      <c r="H101" s="101" t="s">
        <v>69</v>
      </c>
      <c r="I101" s="102"/>
      <c r="J101" s="97">
        <f>J102+J104</f>
        <v>12000</v>
      </c>
    </row>
    <row r="102" spans="1:10" ht="31.5" x14ac:dyDescent="0.25">
      <c r="A102" s="45" t="s">
        <v>402</v>
      </c>
      <c r="B102" s="102">
        <v>871</v>
      </c>
      <c r="C102" s="101" t="s">
        <v>65</v>
      </c>
      <c r="D102" s="101" t="s">
        <v>99</v>
      </c>
      <c r="E102" s="101" t="s">
        <v>112</v>
      </c>
      <c r="F102" s="101" t="s">
        <v>67</v>
      </c>
      <c r="G102" s="101" t="s">
        <v>68</v>
      </c>
      <c r="H102" s="101" t="s">
        <v>403</v>
      </c>
      <c r="I102" s="101"/>
      <c r="J102" s="97">
        <f>J103</f>
        <v>6000</v>
      </c>
    </row>
    <row r="103" spans="1:10" x14ac:dyDescent="0.25">
      <c r="A103" s="45" t="s">
        <v>91</v>
      </c>
      <c r="B103" s="102">
        <v>871</v>
      </c>
      <c r="C103" s="101" t="s">
        <v>65</v>
      </c>
      <c r="D103" s="101" t="s">
        <v>99</v>
      </c>
      <c r="E103" s="101" t="s">
        <v>112</v>
      </c>
      <c r="F103" s="101" t="s">
        <v>67</v>
      </c>
      <c r="G103" s="101" t="s">
        <v>68</v>
      </c>
      <c r="H103" s="101" t="s">
        <v>403</v>
      </c>
      <c r="I103" s="101" t="s">
        <v>92</v>
      </c>
      <c r="J103" s="97">
        <v>6000</v>
      </c>
    </row>
    <row r="104" spans="1:10" ht="63" x14ac:dyDescent="0.25">
      <c r="A104" s="45" t="s">
        <v>404</v>
      </c>
      <c r="B104" s="102">
        <v>871</v>
      </c>
      <c r="C104" s="101" t="s">
        <v>65</v>
      </c>
      <c r="D104" s="101" t="s">
        <v>99</v>
      </c>
      <c r="E104" s="101" t="s">
        <v>112</v>
      </c>
      <c r="F104" s="101" t="s">
        <v>67</v>
      </c>
      <c r="G104" s="101" t="s">
        <v>68</v>
      </c>
      <c r="H104" s="101" t="s">
        <v>405</v>
      </c>
      <c r="I104" s="101"/>
      <c r="J104" s="97">
        <f>J105</f>
        <v>6000</v>
      </c>
    </row>
    <row r="105" spans="1:10" x14ac:dyDescent="0.25">
      <c r="A105" s="45" t="s">
        <v>91</v>
      </c>
      <c r="B105" s="102">
        <v>871</v>
      </c>
      <c r="C105" s="101" t="s">
        <v>65</v>
      </c>
      <c r="D105" s="101" t="s">
        <v>99</v>
      </c>
      <c r="E105" s="101" t="s">
        <v>112</v>
      </c>
      <c r="F105" s="101" t="s">
        <v>67</v>
      </c>
      <c r="G105" s="101" t="s">
        <v>68</v>
      </c>
      <c r="H105" s="101" t="s">
        <v>405</v>
      </c>
      <c r="I105" s="101" t="s">
        <v>92</v>
      </c>
      <c r="J105" s="97">
        <v>6000</v>
      </c>
    </row>
    <row r="106" spans="1:10" ht="63" x14ac:dyDescent="0.25">
      <c r="A106" s="44" t="s">
        <v>194</v>
      </c>
      <c r="B106" s="101" t="s">
        <v>54</v>
      </c>
      <c r="C106" s="101" t="s">
        <v>65</v>
      </c>
      <c r="D106" s="101" t="s">
        <v>99</v>
      </c>
      <c r="E106" s="101" t="s">
        <v>90</v>
      </c>
      <c r="F106" s="102">
        <v>0</v>
      </c>
      <c r="G106" s="101" t="s">
        <v>68</v>
      </c>
      <c r="H106" s="101" t="s">
        <v>69</v>
      </c>
      <c r="I106" s="102"/>
      <c r="J106" s="97">
        <f>J107</f>
        <v>10000</v>
      </c>
    </row>
    <row r="107" spans="1:10" x14ac:dyDescent="0.25">
      <c r="A107" s="45" t="s">
        <v>195</v>
      </c>
      <c r="B107" s="101" t="s">
        <v>54</v>
      </c>
      <c r="C107" s="101" t="s">
        <v>65</v>
      </c>
      <c r="D107" s="101" t="s">
        <v>99</v>
      </c>
      <c r="E107" s="101" t="s">
        <v>90</v>
      </c>
      <c r="F107" s="101" t="s">
        <v>67</v>
      </c>
      <c r="G107" s="101" t="s">
        <v>65</v>
      </c>
      <c r="H107" s="101" t="s">
        <v>69</v>
      </c>
      <c r="I107" s="101"/>
      <c r="J107" s="97">
        <f>J108</f>
        <v>10000</v>
      </c>
    </row>
    <row r="108" spans="1:10" ht="31.5" x14ac:dyDescent="0.25">
      <c r="A108" s="45" t="s">
        <v>196</v>
      </c>
      <c r="B108" s="101" t="s">
        <v>54</v>
      </c>
      <c r="C108" s="101" t="s">
        <v>65</v>
      </c>
      <c r="D108" s="101" t="s">
        <v>99</v>
      </c>
      <c r="E108" s="101" t="s">
        <v>90</v>
      </c>
      <c r="F108" s="101" t="s">
        <v>67</v>
      </c>
      <c r="G108" s="101" t="s">
        <v>65</v>
      </c>
      <c r="H108" s="101" t="s">
        <v>197</v>
      </c>
      <c r="I108" s="101"/>
      <c r="J108" s="97">
        <f>J109</f>
        <v>10000</v>
      </c>
    </row>
    <row r="109" spans="1:10" ht="31.5" x14ac:dyDescent="0.25">
      <c r="A109" s="45" t="s">
        <v>75</v>
      </c>
      <c r="B109" s="101" t="s">
        <v>54</v>
      </c>
      <c r="C109" s="101" t="s">
        <v>65</v>
      </c>
      <c r="D109" s="101" t="s">
        <v>99</v>
      </c>
      <c r="E109" s="101" t="s">
        <v>90</v>
      </c>
      <c r="F109" s="101" t="s">
        <v>67</v>
      </c>
      <c r="G109" s="101" t="s">
        <v>65</v>
      </c>
      <c r="H109" s="101" t="s">
        <v>197</v>
      </c>
      <c r="I109" s="101" t="s">
        <v>76</v>
      </c>
      <c r="J109" s="97">
        <v>10000</v>
      </c>
    </row>
    <row r="110" spans="1:10" ht="63" x14ac:dyDescent="0.25">
      <c r="A110" s="44" t="s">
        <v>143</v>
      </c>
      <c r="B110" s="102">
        <v>871</v>
      </c>
      <c r="C110" s="101" t="s">
        <v>65</v>
      </c>
      <c r="D110" s="102">
        <v>13</v>
      </c>
      <c r="E110" s="101" t="s">
        <v>94</v>
      </c>
      <c r="F110" s="102">
        <v>0</v>
      </c>
      <c r="G110" s="101" t="s">
        <v>68</v>
      </c>
      <c r="H110" s="101" t="s">
        <v>69</v>
      </c>
      <c r="I110" s="102"/>
      <c r="J110" s="97">
        <f>J111+J114</f>
        <v>635000</v>
      </c>
    </row>
    <row r="111" spans="1:10" ht="31.5" x14ac:dyDescent="0.25">
      <c r="A111" s="45" t="s">
        <v>144</v>
      </c>
      <c r="B111" s="102">
        <v>871</v>
      </c>
      <c r="C111" s="101" t="s">
        <v>65</v>
      </c>
      <c r="D111" s="101" t="s">
        <v>99</v>
      </c>
      <c r="E111" s="101" t="s">
        <v>94</v>
      </c>
      <c r="F111" s="101" t="s">
        <v>67</v>
      </c>
      <c r="G111" s="101" t="s">
        <v>65</v>
      </c>
      <c r="H111" s="101" t="s">
        <v>69</v>
      </c>
      <c r="I111" s="101"/>
      <c r="J111" s="97">
        <f>J112</f>
        <v>135000</v>
      </c>
    </row>
    <row r="112" spans="1:10" ht="31.5" x14ac:dyDescent="0.25">
      <c r="A112" s="45" t="s">
        <v>144</v>
      </c>
      <c r="B112" s="102">
        <v>871</v>
      </c>
      <c r="C112" s="101" t="s">
        <v>65</v>
      </c>
      <c r="D112" s="101" t="s">
        <v>99</v>
      </c>
      <c r="E112" s="101" t="s">
        <v>94</v>
      </c>
      <c r="F112" s="101" t="s">
        <v>67</v>
      </c>
      <c r="G112" s="101" t="s">
        <v>65</v>
      </c>
      <c r="H112" s="101" t="s">
        <v>145</v>
      </c>
      <c r="I112" s="101"/>
      <c r="J112" s="97">
        <f>J113</f>
        <v>135000</v>
      </c>
    </row>
    <row r="113" spans="1:10" ht="31.5" x14ac:dyDescent="0.25">
      <c r="A113" s="45" t="s">
        <v>75</v>
      </c>
      <c r="B113" s="102">
        <v>871</v>
      </c>
      <c r="C113" s="101" t="s">
        <v>65</v>
      </c>
      <c r="D113" s="101" t="s">
        <v>99</v>
      </c>
      <c r="E113" s="101" t="s">
        <v>94</v>
      </c>
      <c r="F113" s="101" t="s">
        <v>67</v>
      </c>
      <c r="G113" s="101" t="s">
        <v>65</v>
      </c>
      <c r="H113" s="101" t="s">
        <v>145</v>
      </c>
      <c r="I113" s="101" t="s">
        <v>76</v>
      </c>
      <c r="J113" s="97">
        <v>135000</v>
      </c>
    </row>
    <row r="114" spans="1:10" x14ac:dyDescent="0.25">
      <c r="A114" s="45" t="s">
        <v>412</v>
      </c>
      <c r="B114" s="102">
        <v>871</v>
      </c>
      <c r="C114" s="101" t="s">
        <v>65</v>
      </c>
      <c r="D114" s="101" t="s">
        <v>99</v>
      </c>
      <c r="E114" s="101" t="s">
        <v>94</v>
      </c>
      <c r="F114" s="101" t="s">
        <v>67</v>
      </c>
      <c r="G114" s="101" t="s">
        <v>66</v>
      </c>
      <c r="H114" s="101" t="s">
        <v>69</v>
      </c>
      <c r="I114" s="101"/>
      <c r="J114" s="97">
        <f>J115</f>
        <v>500000</v>
      </c>
    </row>
    <row r="115" spans="1:10" ht="31.5" x14ac:dyDescent="0.25">
      <c r="A115" s="45" t="s">
        <v>144</v>
      </c>
      <c r="B115" s="102">
        <v>871</v>
      </c>
      <c r="C115" s="101" t="s">
        <v>65</v>
      </c>
      <c r="D115" s="101" t="s">
        <v>99</v>
      </c>
      <c r="E115" s="101" t="s">
        <v>94</v>
      </c>
      <c r="F115" s="101" t="s">
        <v>67</v>
      </c>
      <c r="G115" s="101" t="s">
        <v>66</v>
      </c>
      <c r="H115" s="101" t="s">
        <v>145</v>
      </c>
      <c r="I115" s="101"/>
      <c r="J115" s="97">
        <f>J116</f>
        <v>500000</v>
      </c>
    </row>
    <row r="116" spans="1:10" ht="31.5" x14ac:dyDescent="0.25">
      <c r="A116" s="45" t="s">
        <v>75</v>
      </c>
      <c r="B116" s="102">
        <v>871</v>
      </c>
      <c r="C116" s="101" t="s">
        <v>65</v>
      </c>
      <c r="D116" s="101" t="s">
        <v>99</v>
      </c>
      <c r="E116" s="101" t="s">
        <v>94</v>
      </c>
      <c r="F116" s="101" t="s">
        <v>67</v>
      </c>
      <c r="G116" s="101" t="s">
        <v>66</v>
      </c>
      <c r="H116" s="101" t="s">
        <v>145</v>
      </c>
      <c r="I116" s="101" t="s">
        <v>76</v>
      </c>
      <c r="J116" s="97">
        <v>500000</v>
      </c>
    </row>
    <row r="117" spans="1:10" ht="63" x14ac:dyDescent="0.25">
      <c r="A117" s="44" t="s">
        <v>198</v>
      </c>
      <c r="B117" s="102">
        <v>871</v>
      </c>
      <c r="C117" s="101" t="s">
        <v>65</v>
      </c>
      <c r="D117" s="102">
        <v>13</v>
      </c>
      <c r="E117" s="101" t="s">
        <v>99</v>
      </c>
      <c r="F117" s="102">
        <v>0</v>
      </c>
      <c r="G117" s="101" t="s">
        <v>68</v>
      </c>
      <c r="H117" s="101" t="s">
        <v>69</v>
      </c>
      <c r="I117" s="102"/>
      <c r="J117" s="97">
        <f>J118+J121</f>
        <v>630000</v>
      </c>
    </row>
    <row r="118" spans="1:10" ht="47.25" x14ac:dyDescent="0.25">
      <c r="A118" s="45" t="s">
        <v>199</v>
      </c>
      <c r="B118" s="101" t="s">
        <v>54</v>
      </c>
      <c r="C118" s="101" t="s">
        <v>65</v>
      </c>
      <c r="D118" s="101" t="s">
        <v>99</v>
      </c>
      <c r="E118" s="101" t="s">
        <v>99</v>
      </c>
      <c r="F118" s="101" t="s">
        <v>67</v>
      </c>
      <c r="G118" s="101" t="s">
        <v>66</v>
      </c>
      <c r="H118" s="101" t="s">
        <v>69</v>
      </c>
      <c r="I118" s="101"/>
      <c r="J118" s="97">
        <f>J119</f>
        <v>600000</v>
      </c>
    </row>
    <row r="119" spans="1:10" ht="31.5" x14ac:dyDescent="0.25">
      <c r="A119" s="45" t="s">
        <v>200</v>
      </c>
      <c r="B119" s="101" t="s">
        <v>54</v>
      </c>
      <c r="C119" s="101" t="s">
        <v>65</v>
      </c>
      <c r="D119" s="101" t="s">
        <v>99</v>
      </c>
      <c r="E119" s="101" t="s">
        <v>99</v>
      </c>
      <c r="F119" s="101" t="s">
        <v>67</v>
      </c>
      <c r="G119" s="101" t="s">
        <v>66</v>
      </c>
      <c r="H119" s="101" t="s">
        <v>201</v>
      </c>
      <c r="I119" s="101"/>
      <c r="J119" s="97">
        <f>J120</f>
        <v>600000</v>
      </c>
    </row>
    <row r="120" spans="1:10" ht="31.5" x14ac:dyDescent="0.25">
      <c r="A120" s="45" t="s">
        <v>75</v>
      </c>
      <c r="B120" s="102">
        <v>871</v>
      </c>
      <c r="C120" s="101" t="s">
        <v>65</v>
      </c>
      <c r="D120" s="101" t="s">
        <v>99</v>
      </c>
      <c r="E120" s="101" t="s">
        <v>99</v>
      </c>
      <c r="F120" s="101" t="s">
        <v>67</v>
      </c>
      <c r="G120" s="101" t="s">
        <v>66</v>
      </c>
      <c r="H120" s="101" t="s">
        <v>201</v>
      </c>
      <c r="I120" s="101" t="s">
        <v>76</v>
      </c>
      <c r="J120" s="97">
        <v>600000</v>
      </c>
    </row>
    <row r="121" spans="1:10" ht="63" x14ac:dyDescent="0.25">
      <c r="A121" s="45" t="s">
        <v>449</v>
      </c>
      <c r="B121" s="119">
        <v>871</v>
      </c>
      <c r="C121" s="118" t="s">
        <v>65</v>
      </c>
      <c r="D121" s="118" t="s">
        <v>99</v>
      </c>
      <c r="E121" s="118" t="s">
        <v>99</v>
      </c>
      <c r="F121" s="118" t="s">
        <v>67</v>
      </c>
      <c r="G121" s="118" t="s">
        <v>84</v>
      </c>
      <c r="H121" s="118"/>
      <c r="I121" s="118"/>
      <c r="J121" s="97">
        <f>J122</f>
        <v>30000</v>
      </c>
    </row>
    <row r="122" spans="1:10" ht="31.5" x14ac:dyDescent="0.25">
      <c r="A122" s="45" t="s">
        <v>450</v>
      </c>
      <c r="B122" s="119">
        <v>871</v>
      </c>
      <c r="C122" s="118" t="s">
        <v>65</v>
      </c>
      <c r="D122" s="118" t="s">
        <v>99</v>
      </c>
      <c r="E122" s="118" t="s">
        <v>99</v>
      </c>
      <c r="F122" s="118" t="s">
        <v>67</v>
      </c>
      <c r="G122" s="118" t="s">
        <v>84</v>
      </c>
      <c r="H122" s="118" t="s">
        <v>448</v>
      </c>
      <c r="I122" s="118"/>
      <c r="J122" s="97">
        <f>J123</f>
        <v>30000</v>
      </c>
    </row>
    <row r="123" spans="1:10" ht="31.5" x14ac:dyDescent="0.25">
      <c r="A123" s="45" t="s">
        <v>75</v>
      </c>
      <c r="B123" s="119">
        <v>871</v>
      </c>
      <c r="C123" s="118" t="s">
        <v>65</v>
      </c>
      <c r="D123" s="118" t="s">
        <v>99</v>
      </c>
      <c r="E123" s="118" t="s">
        <v>99</v>
      </c>
      <c r="F123" s="118" t="s">
        <v>67</v>
      </c>
      <c r="G123" s="118" t="s">
        <v>84</v>
      </c>
      <c r="H123" s="118" t="s">
        <v>448</v>
      </c>
      <c r="I123" s="118" t="s">
        <v>76</v>
      </c>
      <c r="J123" s="97">
        <v>30000</v>
      </c>
    </row>
    <row r="124" spans="1:10" x14ac:dyDescent="0.25">
      <c r="A124" s="45" t="s">
        <v>146</v>
      </c>
      <c r="B124" s="101" t="s">
        <v>54</v>
      </c>
      <c r="C124" s="101" t="s">
        <v>65</v>
      </c>
      <c r="D124" s="101" t="s">
        <v>99</v>
      </c>
      <c r="E124" s="102">
        <v>92</v>
      </c>
      <c r="F124" s="101"/>
      <c r="G124" s="101"/>
      <c r="H124" s="102"/>
      <c r="I124" s="101"/>
      <c r="J124" s="97">
        <f>J125</f>
        <v>195695.11</v>
      </c>
    </row>
    <row r="125" spans="1:10" x14ac:dyDescent="0.25">
      <c r="A125" s="45" t="s">
        <v>205</v>
      </c>
      <c r="B125" s="101" t="s">
        <v>54</v>
      </c>
      <c r="C125" s="101" t="s">
        <v>65</v>
      </c>
      <c r="D125" s="101" t="s">
        <v>99</v>
      </c>
      <c r="E125" s="102">
        <v>92</v>
      </c>
      <c r="F125" s="101" t="s">
        <v>73</v>
      </c>
      <c r="G125" s="101"/>
      <c r="H125" s="102"/>
      <c r="I125" s="101"/>
      <c r="J125" s="97">
        <f>J126</f>
        <v>195695.11</v>
      </c>
    </row>
    <row r="126" spans="1:10" ht="63" x14ac:dyDescent="0.25">
      <c r="A126" s="45" t="s">
        <v>206</v>
      </c>
      <c r="B126" s="101" t="s">
        <v>54</v>
      </c>
      <c r="C126" s="101" t="s">
        <v>65</v>
      </c>
      <c r="D126" s="101" t="s">
        <v>99</v>
      </c>
      <c r="E126" s="102">
        <v>92</v>
      </c>
      <c r="F126" s="101" t="s">
        <v>73</v>
      </c>
      <c r="G126" s="101" t="s">
        <v>68</v>
      </c>
      <c r="H126" s="102"/>
      <c r="I126" s="101"/>
      <c r="J126" s="97">
        <f>SUM(J127:J129)</f>
        <v>195695.11</v>
      </c>
    </row>
    <row r="127" spans="1:10" ht="31.5" x14ac:dyDescent="0.25">
      <c r="A127" s="45" t="s">
        <v>75</v>
      </c>
      <c r="B127" s="101" t="s">
        <v>54</v>
      </c>
      <c r="C127" s="101" t="s">
        <v>65</v>
      </c>
      <c r="D127" s="101" t="s">
        <v>99</v>
      </c>
      <c r="E127" s="102">
        <v>92</v>
      </c>
      <c r="F127" s="101" t="s">
        <v>73</v>
      </c>
      <c r="G127" s="101" t="s">
        <v>68</v>
      </c>
      <c r="H127" s="102">
        <v>26390</v>
      </c>
      <c r="I127" s="101" t="s">
        <v>76</v>
      </c>
      <c r="J127" s="97">
        <v>166724.62</v>
      </c>
    </row>
    <row r="128" spans="1:10" x14ac:dyDescent="0.25">
      <c r="A128" s="45" t="s">
        <v>103</v>
      </c>
      <c r="B128" s="101" t="s">
        <v>54</v>
      </c>
      <c r="C128" s="101" t="s">
        <v>65</v>
      </c>
      <c r="D128" s="101" t="s">
        <v>99</v>
      </c>
      <c r="E128" s="102">
        <v>92</v>
      </c>
      <c r="F128" s="101" t="s">
        <v>73</v>
      </c>
      <c r="G128" s="101" t="s">
        <v>68</v>
      </c>
      <c r="H128" s="102">
        <v>26390</v>
      </c>
      <c r="I128" s="101" t="s">
        <v>104</v>
      </c>
      <c r="J128" s="97">
        <f>22299.49+6671</f>
        <v>28970.49</v>
      </c>
    </row>
    <row r="129" spans="1:10" hidden="1" x14ac:dyDescent="0.25">
      <c r="A129" s="45" t="s">
        <v>77</v>
      </c>
      <c r="B129" s="101" t="s">
        <v>54</v>
      </c>
      <c r="C129" s="101" t="s">
        <v>65</v>
      </c>
      <c r="D129" s="101" t="s">
        <v>99</v>
      </c>
      <c r="E129" s="102">
        <v>92</v>
      </c>
      <c r="F129" s="101" t="s">
        <v>73</v>
      </c>
      <c r="G129" s="101" t="s">
        <v>68</v>
      </c>
      <c r="H129" s="102">
        <v>26390</v>
      </c>
      <c r="I129" s="101" t="s">
        <v>78</v>
      </c>
      <c r="J129" s="97"/>
    </row>
    <row r="130" spans="1:10" x14ac:dyDescent="0.25">
      <c r="A130" s="45" t="s">
        <v>80</v>
      </c>
      <c r="B130" s="101" t="s">
        <v>54</v>
      </c>
      <c r="C130" s="101" t="s">
        <v>65</v>
      </c>
      <c r="D130" s="101" t="s">
        <v>99</v>
      </c>
      <c r="E130" s="101" t="s">
        <v>81</v>
      </c>
      <c r="F130" s="102">
        <v>0</v>
      </c>
      <c r="G130" s="101" t="s">
        <v>68</v>
      </c>
      <c r="H130" s="101" t="s">
        <v>69</v>
      </c>
      <c r="I130" s="102"/>
      <c r="J130" s="97">
        <f>J131</f>
        <v>134995.85</v>
      </c>
    </row>
    <row r="131" spans="1:10" x14ac:dyDescent="0.25">
      <c r="A131" s="45" t="s">
        <v>207</v>
      </c>
      <c r="B131" s="101" t="s">
        <v>54</v>
      </c>
      <c r="C131" s="101" t="s">
        <v>65</v>
      </c>
      <c r="D131" s="101" t="s">
        <v>99</v>
      </c>
      <c r="E131" s="101" t="s">
        <v>81</v>
      </c>
      <c r="F131" s="102">
        <v>9</v>
      </c>
      <c r="G131" s="101" t="s">
        <v>68</v>
      </c>
      <c r="H131" s="101" t="s">
        <v>69</v>
      </c>
      <c r="I131" s="102"/>
      <c r="J131" s="97">
        <f>J132+J134+J136</f>
        <v>134995.85</v>
      </c>
    </row>
    <row r="132" spans="1:10" ht="31.5" x14ac:dyDescent="0.25">
      <c r="A132" s="45" t="s">
        <v>208</v>
      </c>
      <c r="B132" s="101" t="s">
        <v>54</v>
      </c>
      <c r="C132" s="101" t="s">
        <v>65</v>
      </c>
      <c r="D132" s="101" t="s">
        <v>99</v>
      </c>
      <c r="E132" s="101" t="s">
        <v>81</v>
      </c>
      <c r="F132" s="102">
        <v>9</v>
      </c>
      <c r="G132" s="101" t="s">
        <v>68</v>
      </c>
      <c r="H132" s="101" t="s">
        <v>209</v>
      </c>
      <c r="I132" s="102"/>
      <c r="J132" s="97">
        <f>J133</f>
        <v>50000</v>
      </c>
    </row>
    <row r="133" spans="1:10" ht="31.5" x14ac:dyDescent="0.25">
      <c r="A133" s="45" t="s">
        <v>75</v>
      </c>
      <c r="B133" s="101" t="s">
        <v>54</v>
      </c>
      <c r="C133" s="101" t="s">
        <v>65</v>
      </c>
      <c r="D133" s="101" t="s">
        <v>99</v>
      </c>
      <c r="E133" s="101" t="s">
        <v>81</v>
      </c>
      <c r="F133" s="102">
        <v>9</v>
      </c>
      <c r="G133" s="101" t="s">
        <v>68</v>
      </c>
      <c r="H133" s="101" t="s">
        <v>209</v>
      </c>
      <c r="I133" s="102">
        <v>240</v>
      </c>
      <c r="J133" s="97">
        <v>50000</v>
      </c>
    </row>
    <row r="134" spans="1:10" x14ac:dyDescent="0.25">
      <c r="A134" s="45" t="s">
        <v>210</v>
      </c>
      <c r="B134" s="101" t="s">
        <v>54</v>
      </c>
      <c r="C134" s="101" t="s">
        <v>65</v>
      </c>
      <c r="D134" s="101" t="s">
        <v>99</v>
      </c>
      <c r="E134" s="101" t="s">
        <v>81</v>
      </c>
      <c r="F134" s="102">
        <v>9</v>
      </c>
      <c r="G134" s="101" t="s">
        <v>68</v>
      </c>
      <c r="H134" s="102">
        <v>29090</v>
      </c>
      <c r="I134" s="101"/>
      <c r="J134" s="97">
        <f>J135</f>
        <v>22905</v>
      </c>
    </row>
    <row r="135" spans="1:10" x14ac:dyDescent="0.25">
      <c r="A135" s="45" t="s">
        <v>77</v>
      </c>
      <c r="B135" s="101" t="s">
        <v>54</v>
      </c>
      <c r="C135" s="101" t="s">
        <v>65</v>
      </c>
      <c r="D135" s="101" t="s">
        <v>99</v>
      </c>
      <c r="E135" s="101" t="s">
        <v>81</v>
      </c>
      <c r="F135" s="102">
        <v>9</v>
      </c>
      <c r="G135" s="101" t="s">
        <v>68</v>
      </c>
      <c r="H135" s="102">
        <v>29090</v>
      </c>
      <c r="I135" s="101" t="s">
        <v>78</v>
      </c>
      <c r="J135" s="97">
        <f>20000+2905</f>
        <v>22905</v>
      </c>
    </row>
    <row r="136" spans="1:10" ht="31.5" x14ac:dyDescent="0.25">
      <c r="A136" s="44" t="s">
        <v>302</v>
      </c>
      <c r="B136" s="126" t="s">
        <v>54</v>
      </c>
      <c r="C136" s="126" t="s">
        <v>65</v>
      </c>
      <c r="D136" s="126" t="s">
        <v>99</v>
      </c>
      <c r="E136" s="126" t="s">
        <v>81</v>
      </c>
      <c r="F136" s="127">
        <v>9</v>
      </c>
      <c r="G136" s="126" t="s">
        <v>68</v>
      </c>
      <c r="H136" s="126" t="s">
        <v>303</v>
      </c>
      <c r="I136" s="127"/>
      <c r="J136" s="97">
        <f>J137</f>
        <v>62090.85</v>
      </c>
    </row>
    <row r="137" spans="1:10" x14ac:dyDescent="0.25">
      <c r="A137" s="45" t="s">
        <v>105</v>
      </c>
      <c r="B137" s="126" t="s">
        <v>54</v>
      </c>
      <c r="C137" s="126" t="s">
        <v>65</v>
      </c>
      <c r="D137" s="126" t="s">
        <v>99</v>
      </c>
      <c r="E137" s="126" t="s">
        <v>81</v>
      </c>
      <c r="F137" s="127">
        <v>9</v>
      </c>
      <c r="G137" s="126" t="s">
        <v>68</v>
      </c>
      <c r="H137" s="126" t="s">
        <v>303</v>
      </c>
      <c r="I137" s="127">
        <v>520</v>
      </c>
      <c r="J137" s="97">
        <v>62090.85</v>
      </c>
    </row>
    <row r="138" spans="1:10" x14ac:dyDescent="0.25">
      <c r="A138" s="50" t="s">
        <v>106</v>
      </c>
      <c r="B138" s="102">
        <v>871</v>
      </c>
      <c r="C138" s="101" t="s">
        <v>66</v>
      </c>
      <c r="D138" s="102" t="s">
        <v>22</v>
      </c>
      <c r="E138" s="101" t="s">
        <v>134</v>
      </c>
      <c r="F138" s="102"/>
      <c r="G138" s="101"/>
      <c r="H138" s="101"/>
      <c r="I138" s="102" t="s">
        <v>135</v>
      </c>
      <c r="J138" s="96">
        <f>J139</f>
        <v>539652.86</v>
      </c>
    </row>
    <row r="139" spans="1:10" x14ac:dyDescent="0.25">
      <c r="A139" s="51" t="s">
        <v>107</v>
      </c>
      <c r="B139" s="102">
        <v>871</v>
      </c>
      <c r="C139" s="101" t="s">
        <v>66</v>
      </c>
      <c r="D139" s="101" t="s">
        <v>72</v>
      </c>
      <c r="E139" s="101" t="s">
        <v>134</v>
      </c>
      <c r="F139" s="102"/>
      <c r="G139" s="101"/>
      <c r="H139" s="101"/>
      <c r="I139" s="102" t="s">
        <v>135</v>
      </c>
      <c r="J139" s="97">
        <f>J140</f>
        <v>539652.86</v>
      </c>
    </row>
    <row r="140" spans="1:10" x14ac:dyDescent="0.25">
      <c r="A140" s="45" t="s">
        <v>80</v>
      </c>
      <c r="B140" s="102">
        <v>871</v>
      </c>
      <c r="C140" s="101" t="s">
        <v>66</v>
      </c>
      <c r="D140" s="101" t="s">
        <v>72</v>
      </c>
      <c r="E140" s="101" t="s">
        <v>81</v>
      </c>
      <c r="F140" s="102">
        <v>0</v>
      </c>
      <c r="G140" s="101" t="s">
        <v>68</v>
      </c>
      <c r="H140" s="101" t="s">
        <v>69</v>
      </c>
      <c r="I140" s="102"/>
      <c r="J140" s="97">
        <f>J141</f>
        <v>539652.86</v>
      </c>
    </row>
    <row r="141" spans="1:10" x14ac:dyDescent="0.25">
      <c r="A141" s="45" t="s">
        <v>207</v>
      </c>
      <c r="B141" s="102">
        <v>871</v>
      </c>
      <c r="C141" s="101" t="s">
        <v>66</v>
      </c>
      <c r="D141" s="101" t="s">
        <v>72</v>
      </c>
      <c r="E141" s="101" t="s">
        <v>81</v>
      </c>
      <c r="F141" s="102">
        <v>9</v>
      </c>
      <c r="G141" s="101" t="s">
        <v>68</v>
      </c>
      <c r="H141" s="101" t="s">
        <v>69</v>
      </c>
      <c r="I141" s="102"/>
      <c r="J141" s="97">
        <f>J142+J144</f>
        <v>539652.86</v>
      </c>
    </row>
    <row r="142" spans="1:10" ht="47.25" x14ac:dyDescent="0.25">
      <c r="A142" s="45" t="s">
        <v>513</v>
      </c>
      <c r="B142" s="203">
        <v>871</v>
      </c>
      <c r="C142" s="202" t="s">
        <v>66</v>
      </c>
      <c r="D142" s="202" t="s">
        <v>72</v>
      </c>
      <c r="E142" s="202" t="s">
        <v>81</v>
      </c>
      <c r="F142" s="203">
        <v>9</v>
      </c>
      <c r="G142" s="202" t="s">
        <v>68</v>
      </c>
      <c r="H142" s="202" t="s">
        <v>139</v>
      </c>
      <c r="I142" s="203"/>
      <c r="J142" s="97">
        <f>J143</f>
        <v>231279.82</v>
      </c>
    </row>
    <row r="143" spans="1:10" x14ac:dyDescent="0.25">
      <c r="A143" s="44" t="s">
        <v>140</v>
      </c>
      <c r="B143" s="203">
        <v>871</v>
      </c>
      <c r="C143" s="202" t="s">
        <v>66</v>
      </c>
      <c r="D143" s="202" t="s">
        <v>72</v>
      </c>
      <c r="E143" s="202" t="s">
        <v>81</v>
      </c>
      <c r="F143" s="203">
        <v>9</v>
      </c>
      <c r="G143" s="202" t="s">
        <v>68</v>
      </c>
      <c r="H143" s="202" t="s">
        <v>139</v>
      </c>
      <c r="I143" s="203">
        <v>120</v>
      </c>
      <c r="J143" s="97">
        <v>231279.82</v>
      </c>
    </row>
    <row r="144" spans="1:10" ht="63" x14ac:dyDescent="0.25">
      <c r="A144" s="44" t="s">
        <v>211</v>
      </c>
      <c r="B144" s="102">
        <v>871</v>
      </c>
      <c r="C144" s="101" t="s">
        <v>66</v>
      </c>
      <c r="D144" s="101" t="s">
        <v>72</v>
      </c>
      <c r="E144" s="101" t="s">
        <v>81</v>
      </c>
      <c r="F144" s="102">
        <v>9</v>
      </c>
      <c r="G144" s="101" t="s">
        <v>68</v>
      </c>
      <c r="H144" s="101" t="s">
        <v>108</v>
      </c>
      <c r="I144" s="102"/>
      <c r="J144" s="97">
        <f>SUM(J145:J146)</f>
        <v>308373.03999999998</v>
      </c>
    </row>
    <row r="145" spans="1:10" x14ac:dyDescent="0.25">
      <c r="A145" s="44" t="s">
        <v>140</v>
      </c>
      <c r="B145" s="102">
        <v>871</v>
      </c>
      <c r="C145" s="101" t="s">
        <v>66</v>
      </c>
      <c r="D145" s="101" t="s">
        <v>72</v>
      </c>
      <c r="E145" s="101" t="s">
        <v>81</v>
      </c>
      <c r="F145" s="102">
        <v>9</v>
      </c>
      <c r="G145" s="101" t="s">
        <v>68</v>
      </c>
      <c r="H145" s="101" t="s">
        <v>108</v>
      </c>
      <c r="I145" s="102">
        <v>120</v>
      </c>
      <c r="J145" s="97">
        <f>521892.11+17760.75-231279.82</f>
        <v>308373.03999999998</v>
      </c>
    </row>
    <row r="146" spans="1:10" ht="31.5" hidden="1" x14ac:dyDescent="0.25">
      <c r="A146" s="45" t="s">
        <v>75</v>
      </c>
      <c r="B146" s="102">
        <v>871</v>
      </c>
      <c r="C146" s="101" t="s">
        <v>66</v>
      </c>
      <c r="D146" s="101" t="s">
        <v>72</v>
      </c>
      <c r="E146" s="101" t="s">
        <v>81</v>
      </c>
      <c r="F146" s="102">
        <v>9</v>
      </c>
      <c r="G146" s="101" t="s">
        <v>68</v>
      </c>
      <c r="H146" s="101" t="s">
        <v>108</v>
      </c>
      <c r="I146" s="102">
        <v>240</v>
      </c>
      <c r="J146" s="97"/>
    </row>
    <row r="147" spans="1:10" ht="31.5" x14ac:dyDescent="0.25">
      <c r="A147" s="50" t="s">
        <v>109</v>
      </c>
      <c r="B147" s="102">
        <v>871</v>
      </c>
      <c r="C147" s="101" t="s">
        <v>72</v>
      </c>
      <c r="D147" s="101"/>
      <c r="E147" s="101"/>
      <c r="F147" s="102"/>
      <c r="G147" s="101"/>
      <c r="H147" s="101"/>
      <c r="I147" s="102"/>
      <c r="J147" s="97">
        <f>J148+J157</f>
        <v>1588178.6</v>
      </c>
    </row>
    <row r="148" spans="1:10" x14ac:dyDescent="0.25">
      <c r="A148" s="44" t="s">
        <v>406</v>
      </c>
      <c r="B148" s="102">
        <v>871</v>
      </c>
      <c r="C148" s="101" t="s">
        <v>72</v>
      </c>
      <c r="D148" s="101" t="s">
        <v>102</v>
      </c>
      <c r="E148" s="101"/>
      <c r="F148" s="102"/>
      <c r="G148" s="101"/>
      <c r="H148" s="101"/>
      <c r="I148" s="102"/>
      <c r="J148" s="97">
        <f>J149</f>
        <v>340000</v>
      </c>
    </row>
    <row r="149" spans="1:10" ht="94.5" x14ac:dyDescent="0.25">
      <c r="A149" s="44" t="s">
        <v>212</v>
      </c>
      <c r="B149" s="102">
        <v>871</v>
      </c>
      <c r="C149" s="101" t="s">
        <v>72</v>
      </c>
      <c r="D149" s="101" t="s">
        <v>102</v>
      </c>
      <c r="E149" s="101" t="s">
        <v>66</v>
      </c>
      <c r="F149" s="102">
        <v>0</v>
      </c>
      <c r="G149" s="101" t="s">
        <v>68</v>
      </c>
      <c r="H149" s="101" t="s">
        <v>69</v>
      </c>
      <c r="I149" s="102"/>
      <c r="J149" s="97">
        <f>J150</f>
        <v>340000</v>
      </c>
    </row>
    <row r="150" spans="1:10" ht="31.5" x14ac:dyDescent="0.25">
      <c r="A150" s="45" t="s">
        <v>213</v>
      </c>
      <c r="B150" s="102">
        <v>871</v>
      </c>
      <c r="C150" s="101" t="s">
        <v>72</v>
      </c>
      <c r="D150" s="101" t="s">
        <v>102</v>
      </c>
      <c r="E150" s="101" t="s">
        <v>66</v>
      </c>
      <c r="F150" s="102">
        <v>1</v>
      </c>
      <c r="G150" s="101" t="s">
        <v>68</v>
      </c>
      <c r="H150" s="101" t="s">
        <v>69</v>
      </c>
      <c r="I150" s="102"/>
      <c r="J150" s="97">
        <f>J151+J153+J155</f>
        <v>340000</v>
      </c>
    </row>
    <row r="151" spans="1:10" ht="31.5" hidden="1" x14ac:dyDescent="0.25">
      <c r="A151" s="45" t="s">
        <v>214</v>
      </c>
      <c r="B151" s="102">
        <v>871</v>
      </c>
      <c r="C151" s="101" t="s">
        <v>72</v>
      </c>
      <c r="D151" s="101" t="s">
        <v>102</v>
      </c>
      <c r="E151" s="101" t="s">
        <v>66</v>
      </c>
      <c r="F151" s="102">
        <v>1</v>
      </c>
      <c r="G151" s="101" t="s">
        <v>68</v>
      </c>
      <c r="H151" s="101" t="s">
        <v>215</v>
      </c>
      <c r="I151" s="102"/>
      <c r="J151" s="97">
        <f>J152</f>
        <v>0</v>
      </c>
    </row>
    <row r="152" spans="1:10" ht="31.5" hidden="1" x14ac:dyDescent="0.25">
      <c r="A152" s="45" t="s">
        <v>75</v>
      </c>
      <c r="B152" s="102">
        <v>871</v>
      </c>
      <c r="C152" s="101" t="s">
        <v>72</v>
      </c>
      <c r="D152" s="101" t="s">
        <v>102</v>
      </c>
      <c r="E152" s="101" t="s">
        <v>66</v>
      </c>
      <c r="F152" s="102">
        <v>1</v>
      </c>
      <c r="G152" s="101" t="s">
        <v>68</v>
      </c>
      <c r="H152" s="101" t="s">
        <v>215</v>
      </c>
      <c r="I152" s="102">
        <v>240</v>
      </c>
      <c r="J152" s="97">
        <f>70000-21500-48500</f>
        <v>0</v>
      </c>
    </row>
    <row r="153" spans="1:10" ht="31.5" hidden="1" x14ac:dyDescent="0.25">
      <c r="A153" s="45" t="s">
        <v>417</v>
      </c>
      <c r="B153" s="102">
        <v>871</v>
      </c>
      <c r="C153" s="101" t="s">
        <v>72</v>
      </c>
      <c r="D153" s="101" t="s">
        <v>102</v>
      </c>
      <c r="E153" s="101" t="s">
        <v>66</v>
      </c>
      <c r="F153" s="102">
        <v>1</v>
      </c>
      <c r="G153" s="101" t="s">
        <v>68</v>
      </c>
      <c r="H153" s="101" t="s">
        <v>216</v>
      </c>
      <c r="I153" s="102"/>
      <c r="J153" s="97">
        <f>J154</f>
        <v>0</v>
      </c>
    </row>
    <row r="154" spans="1:10" ht="31.5" hidden="1" x14ac:dyDescent="0.25">
      <c r="A154" s="45" t="s">
        <v>75</v>
      </c>
      <c r="B154" s="102">
        <v>871</v>
      </c>
      <c r="C154" s="101" t="s">
        <v>72</v>
      </c>
      <c r="D154" s="101" t="s">
        <v>102</v>
      </c>
      <c r="E154" s="101" t="s">
        <v>66</v>
      </c>
      <c r="F154" s="102">
        <v>1</v>
      </c>
      <c r="G154" s="101" t="s">
        <v>68</v>
      </c>
      <c r="H154" s="101" t="s">
        <v>216</v>
      </c>
      <c r="I154" s="102">
        <v>240</v>
      </c>
      <c r="J154" s="97">
        <f>10000+48500-58500</f>
        <v>0</v>
      </c>
    </row>
    <row r="155" spans="1:10" x14ac:dyDescent="0.25">
      <c r="A155" s="45" t="s">
        <v>217</v>
      </c>
      <c r="B155" s="102">
        <v>871</v>
      </c>
      <c r="C155" s="101" t="s">
        <v>72</v>
      </c>
      <c r="D155" s="101" t="s">
        <v>102</v>
      </c>
      <c r="E155" s="101" t="s">
        <v>66</v>
      </c>
      <c r="F155" s="102">
        <v>1</v>
      </c>
      <c r="G155" s="101" t="s">
        <v>68</v>
      </c>
      <c r="H155" s="101" t="s">
        <v>218</v>
      </c>
      <c r="I155" s="102"/>
      <c r="J155" s="97">
        <f>J156</f>
        <v>340000</v>
      </c>
    </row>
    <row r="156" spans="1:10" ht="31.5" x14ac:dyDescent="0.25">
      <c r="A156" s="45" t="s">
        <v>75</v>
      </c>
      <c r="B156" s="102">
        <v>871</v>
      </c>
      <c r="C156" s="101" t="s">
        <v>72</v>
      </c>
      <c r="D156" s="101" t="s">
        <v>102</v>
      </c>
      <c r="E156" s="101" t="s">
        <v>66</v>
      </c>
      <c r="F156" s="102">
        <v>1</v>
      </c>
      <c r="G156" s="101" t="s">
        <v>68</v>
      </c>
      <c r="H156" s="101" t="s">
        <v>218</v>
      </c>
      <c r="I156" s="102">
        <v>240</v>
      </c>
      <c r="J156" s="97">
        <f>300000-151500+21500+170000</f>
        <v>340000</v>
      </c>
    </row>
    <row r="157" spans="1:10" ht="47.25" x14ac:dyDescent="0.25">
      <c r="A157" s="45" t="s">
        <v>407</v>
      </c>
      <c r="B157" s="102">
        <v>871</v>
      </c>
      <c r="C157" s="101" t="s">
        <v>72</v>
      </c>
      <c r="D157" s="101" t="s">
        <v>90</v>
      </c>
      <c r="E157" s="101"/>
      <c r="F157" s="102"/>
      <c r="G157" s="101"/>
      <c r="H157" s="101"/>
      <c r="I157" s="102"/>
      <c r="J157" s="97">
        <f>J158+J168</f>
        <v>1248178.6000000001</v>
      </c>
    </row>
    <row r="158" spans="1:10" ht="94.5" x14ac:dyDescent="0.25">
      <c r="A158" s="45" t="s">
        <v>212</v>
      </c>
      <c r="B158" s="102">
        <v>871</v>
      </c>
      <c r="C158" s="101" t="s">
        <v>72</v>
      </c>
      <c r="D158" s="101" t="s">
        <v>90</v>
      </c>
      <c r="E158" s="101" t="s">
        <v>66</v>
      </c>
      <c r="F158" s="102">
        <v>0</v>
      </c>
      <c r="G158" s="101" t="s">
        <v>68</v>
      </c>
      <c r="H158" s="101" t="s">
        <v>69</v>
      </c>
      <c r="I158" s="102"/>
      <c r="J158" s="97">
        <f>J159+J162+J165</f>
        <v>624178.6</v>
      </c>
    </row>
    <row r="159" spans="1:10" ht="47.25" hidden="1" x14ac:dyDescent="0.25">
      <c r="A159" s="52" t="s">
        <v>219</v>
      </c>
      <c r="B159" s="102">
        <v>871</v>
      </c>
      <c r="C159" s="101" t="s">
        <v>72</v>
      </c>
      <c r="D159" s="101" t="s">
        <v>90</v>
      </c>
      <c r="E159" s="101" t="s">
        <v>66</v>
      </c>
      <c r="F159" s="102">
        <v>2</v>
      </c>
      <c r="G159" s="101" t="s">
        <v>68</v>
      </c>
      <c r="H159" s="101" t="s">
        <v>69</v>
      </c>
      <c r="I159" s="102"/>
      <c r="J159" s="97">
        <f>J160</f>
        <v>0</v>
      </c>
    </row>
    <row r="160" spans="1:10" ht="31.5" hidden="1" x14ac:dyDescent="0.25">
      <c r="A160" s="52" t="s">
        <v>220</v>
      </c>
      <c r="B160" s="102">
        <v>871</v>
      </c>
      <c r="C160" s="101" t="s">
        <v>72</v>
      </c>
      <c r="D160" s="101" t="s">
        <v>90</v>
      </c>
      <c r="E160" s="101" t="s">
        <v>66</v>
      </c>
      <c r="F160" s="102">
        <v>2</v>
      </c>
      <c r="G160" s="101" t="s">
        <v>68</v>
      </c>
      <c r="H160" s="101" t="s">
        <v>221</v>
      </c>
      <c r="I160" s="102"/>
      <c r="J160" s="97">
        <f>J161</f>
        <v>0</v>
      </c>
    </row>
    <row r="161" spans="1:10" ht="31.5" hidden="1" x14ac:dyDescent="0.25">
      <c r="A161" s="45" t="s">
        <v>75</v>
      </c>
      <c r="B161" s="102">
        <v>871</v>
      </c>
      <c r="C161" s="101" t="s">
        <v>72</v>
      </c>
      <c r="D161" s="101" t="s">
        <v>90</v>
      </c>
      <c r="E161" s="101" t="s">
        <v>66</v>
      </c>
      <c r="F161" s="102">
        <v>2</v>
      </c>
      <c r="G161" s="101" t="s">
        <v>68</v>
      </c>
      <c r="H161" s="101" t="s">
        <v>221</v>
      </c>
      <c r="I161" s="102">
        <v>240</v>
      </c>
      <c r="J161" s="97">
        <f>5000-5000</f>
        <v>0</v>
      </c>
    </row>
    <row r="162" spans="1:10" ht="63" x14ac:dyDescent="0.25">
      <c r="A162" s="45" t="s">
        <v>222</v>
      </c>
      <c r="B162" s="102">
        <v>871</v>
      </c>
      <c r="C162" s="101" t="s">
        <v>72</v>
      </c>
      <c r="D162" s="101" t="s">
        <v>90</v>
      </c>
      <c r="E162" s="101" t="s">
        <v>66</v>
      </c>
      <c r="F162" s="102">
        <v>3</v>
      </c>
      <c r="G162" s="101" t="s">
        <v>68</v>
      </c>
      <c r="H162" s="101" t="s">
        <v>69</v>
      </c>
      <c r="I162" s="102"/>
      <c r="J162" s="97">
        <f>J163</f>
        <v>352678.6</v>
      </c>
    </row>
    <row r="163" spans="1:10" ht="47.25" x14ac:dyDescent="0.25">
      <c r="A163" s="45" t="s">
        <v>223</v>
      </c>
      <c r="B163" s="102">
        <v>871</v>
      </c>
      <c r="C163" s="101" t="s">
        <v>72</v>
      </c>
      <c r="D163" s="101" t="s">
        <v>90</v>
      </c>
      <c r="E163" s="101" t="s">
        <v>66</v>
      </c>
      <c r="F163" s="102">
        <v>3</v>
      </c>
      <c r="G163" s="101" t="s">
        <v>68</v>
      </c>
      <c r="H163" s="101" t="s">
        <v>224</v>
      </c>
      <c r="I163" s="102"/>
      <c r="J163" s="97">
        <f>J164</f>
        <v>352678.6</v>
      </c>
    </row>
    <row r="164" spans="1:10" ht="31.5" x14ac:dyDescent="0.25">
      <c r="A164" s="45" t="s">
        <v>75</v>
      </c>
      <c r="B164" s="102">
        <v>871</v>
      </c>
      <c r="C164" s="101" t="s">
        <v>72</v>
      </c>
      <c r="D164" s="101" t="s">
        <v>90</v>
      </c>
      <c r="E164" s="101" t="s">
        <v>66</v>
      </c>
      <c r="F164" s="102">
        <v>3</v>
      </c>
      <c r="G164" s="101" t="s">
        <v>68</v>
      </c>
      <c r="H164" s="101" t="s">
        <v>224</v>
      </c>
      <c r="I164" s="102">
        <v>240</v>
      </c>
      <c r="J164" s="97">
        <f>385978.6+1700-35000</f>
        <v>352678.6</v>
      </c>
    </row>
    <row r="165" spans="1:10" x14ac:dyDescent="0.25">
      <c r="A165" s="45" t="s">
        <v>228</v>
      </c>
      <c r="B165" s="102">
        <v>871</v>
      </c>
      <c r="C165" s="101" t="s">
        <v>72</v>
      </c>
      <c r="D165" s="101" t="s">
        <v>90</v>
      </c>
      <c r="E165" s="101" t="s">
        <v>66</v>
      </c>
      <c r="F165" s="102">
        <v>4</v>
      </c>
      <c r="G165" s="101" t="s">
        <v>68</v>
      </c>
      <c r="H165" s="101" t="s">
        <v>69</v>
      </c>
      <c r="I165" s="102"/>
      <c r="J165" s="97">
        <f>J166</f>
        <v>271500</v>
      </c>
    </row>
    <row r="166" spans="1:10" x14ac:dyDescent="0.25">
      <c r="A166" s="45" t="s">
        <v>228</v>
      </c>
      <c r="B166" s="102">
        <v>871</v>
      </c>
      <c r="C166" s="101" t="s">
        <v>72</v>
      </c>
      <c r="D166" s="101" t="s">
        <v>90</v>
      </c>
      <c r="E166" s="101" t="s">
        <v>66</v>
      </c>
      <c r="F166" s="102">
        <v>4</v>
      </c>
      <c r="G166" s="101" t="s">
        <v>68</v>
      </c>
      <c r="H166" s="101" t="s">
        <v>229</v>
      </c>
      <c r="I166" s="102"/>
      <c r="J166" s="97">
        <f>J167</f>
        <v>271500</v>
      </c>
    </row>
    <row r="167" spans="1:10" ht="31.5" x14ac:dyDescent="0.25">
      <c r="A167" s="45" t="s">
        <v>75</v>
      </c>
      <c r="B167" s="102">
        <v>871</v>
      </c>
      <c r="C167" s="101" t="s">
        <v>72</v>
      </c>
      <c r="D167" s="101" t="s">
        <v>90</v>
      </c>
      <c r="E167" s="101" t="s">
        <v>66</v>
      </c>
      <c r="F167" s="102">
        <v>4</v>
      </c>
      <c r="G167" s="101" t="s">
        <v>68</v>
      </c>
      <c r="H167" s="101" t="s">
        <v>229</v>
      </c>
      <c r="I167" s="102">
        <v>240</v>
      </c>
      <c r="J167" s="97">
        <f>300000+20000+151500-200000</f>
        <v>271500</v>
      </c>
    </row>
    <row r="168" spans="1:10" ht="31.5" x14ac:dyDescent="0.25">
      <c r="A168" s="45" t="s">
        <v>225</v>
      </c>
      <c r="B168" s="102">
        <v>871</v>
      </c>
      <c r="C168" s="101" t="s">
        <v>72</v>
      </c>
      <c r="D168" s="101" t="s">
        <v>90</v>
      </c>
      <c r="E168" s="101">
        <v>97</v>
      </c>
      <c r="F168" s="102">
        <v>0</v>
      </c>
      <c r="G168" s="101" t="s">
        <v>68</v>
      </c>
      <c r="H168" s="101" t="s">
        <v>69</v>
      </c>
      <c r="I168" s="102"/>
      <c r="J168" s="97">
        <f>J169</f>
        <v>624000</v>
      </c>
    </row>
    <row r="169" spans="1:10" ht="63" x14ac:dyDescent="0.25">
      <c r="A169" s="45" t="s">
        <v>152</v>
      </c>
      <c r="B169" s="102">
        <v>871</v>
      </c>
      <c r="C169" s="101" t="s">
        <v>72</v>
      </c>
      <c r="D169" s="101" t="s">
        <v>90</v>
      </c>
      <c r="E169" s="101">
        <v>97</v>
      </c>
      <c r="F169" s="102">
        <v>2</v>
      </c>
      <c r="G169" s="101" t="s">
        <v>68</v>
      </c>
      <c r="H169" s="101" t="s">
        <v>69</v>
      </c>
      <c r="I169" s="102"/>
      <c r="J169" s="97">
        <f>J170+J172</f>
        <v>624000</v>
      </c>
    </row>
    <row r="170" spans="1:10" ht="63" x14ac:dyDescent="0.25">
      <c r="A170" s="45" t="s">
        <v>226</v>
      </c>
      <c r="B170" s="102">
        <v>871</v>
      </c>
      <c r="C170" s="101" t="s">
        <v>72</v>
      </c>
      <c r="D170" s="101" t="s">
        <v>90</v>
      </c>
      <c r="E170" s="101" t="s">
        <v>154</v>
      </c>
      <c r="F170" s="102">
        <v>2</v>
      </c>
      <c r="G170" s="101" t="s">
        <v>68</v>
      </c>
      <c r="H170" s="101" t="s">
        <v>227</v>
      </c>
      <c r="I170" s="102"/>
      <c r="J170" s="97">
        <f>J171</f>
        <v>34100</v>
      </c>
    </row>
    <row r="171" spans="1:10" x14ac:dyDescent="0.25">
      <c r="A171" s="48" t="s">
        <v>157</v>
      </c>
      <c r="B171" s="102">
        <v>871</v>
      </c>
      <c r="C171" s="101" t="s">
        <v>72</v>
      </c>
      <c r="D171" s="101" t="s">
        <v>90</v>
      </c>
      <c r="E171" s="101" t="s">
        <v>154</v>
      </c>
      <c r="F171" s="102">
        <v>2</v>
      </c>
      <c r="G171" s="101" t="s">
        <v>68</v>
      </c>
      <c r="H171" s="101" t="s">
        <v>227</v>
      </c>
      <c r="I171" s="102">
        <v>540</v>
      </c>
      <c r="J171" s="97">
        <v>34100</v>
      </c>
    </row>
    <row r="172" spans="1:10" ht="141.75" x14ac:dyDescent="0.25">
      <c r="A172" s="45" t="s">
        <v>408</v>
      </c>
      <c r="B172" s="102">
        <v>871</v>
      </c>
      <c r="C172" s="101" t="s">
        <v>72</v>
      </c>
      <c r="D172" s="101" t="s">
        <v>90</v>
      </c>
      <c r="E172" s="101" t="s">
        <v>154</v>
      </c>
      <c r="F172" s="102">
        <v>2</v>
      </c>
      <c r="G172" s="101" t="s">
        <v>68</v>
      </c>
      <c r="H172" s="101" t="s">
        <v>409</v>
      </c>
      <c r="I172" s="102"/>
      <c r="J172" s="97">
        <f>J173</f>
        <v>589900</v>
      </c>
    </row>
    <row r="173" spans="1:10" x14ac:dyDescent="0.25">
      <c r="A173" s="48" t="s">
        <v>157</v>
      </c>
      <c r="B173" s="102">
        <v>871</v>
      </c>
      <c r="C173" s="101" t="s">
        <v>72</v>
      </c>
      <c r="D173" s="101" t="s">
        <v>90</v>
      </c>
      <c r="E173" s="101" t="s">
        <v>154</v>
      </c>
      <c r="F173" s="102">
        <v>2</v>
      </c>
      <c r="G173" s="101" t="s">
        <v>68</v>
      </c>
      <c r="H173" s="101" t="s">
        <v>409</v>
      </c>
      <c r="I173" s="102">
        <v>540</v>
      </c>
      <c r="J173" s="97">
        <f>591600-1700</f>
        <v>589900</v>
      </c>
    </row>
    <row r="174" spans="1:10" x14ac:dyDescent="0.25">
      <c r="A174" s="50" t="s">
        <v>111</v>
      </c>
      <c r="B174" s="102">
        <v>871</v>
      </c>
      <c r="C174" s="101" t="s">
        <v>83</v>
      </c>
      <c r="D174" s="102" t="s">
        <v>22</v>
      </c>
      <c r="E174" s="101"/>
      <c r="F174" s="102"/>
      <c r="G174" s="101"/>
      <c r="H174" s="101"/>
      <c r="I174" s="102"/>
      <c r="J174" s="97">
        <f>J175+J195+J200</f>
        <v>57470729.88000001</v>
      </c>
    </row>
    <row r="175" spans="1:10" x14ac:dyDescent="0.25">
      <c r="A175" s="44" t="s">
        <v>114</v>
      </c>
      <c r="B175" s="101" t="s">
        <v>54</v>
      </c>
      <c r="C175" s="101" t="s">
        <v>83</v>
      </c>
      <c r="D175" s="101" t="s">
        <v>102</v>
      </c>
      <c r="E175" s="101"/>
      <c r="F175" s="102"/>
      <c r="G175" s="101"/>
      <c r="H175" s="101"/>
      <c r="I175" s="102"/>
      <c r="J175" s="97">
        <f>J176</f>
        <v>57358793.88000001</v>
      </c>
    </row>
    <row r="176" spans="1:10" ht="47.25" x14ac:dyDescent="0.25">
      <c r="A176" s="44" t="s">
        <v>230</v>
      </c>
      <c r="B176" s="101" t="s">
        <v>54</v>
      </c>
      <c r="C176" s="101" t="s">
        <v>83</v>
      </c>
      <c r="D176" s="101" t="s">
        <v>102</v>
      </c>
      <c r="E176" s="101" t="s">
        <v>72</v>
      </c>
      <c r="F176" s="102">
        <v>0</v>
      </c>
      <c r="G176" s="101" t="s">
        <v>68</v>
      </c>
      <c r="H176" s="101" t="s">
        <v>69</v>
      </c>
      <c r="I176" s="102"/>
      <c r="J176" s="97">
        <f>J177</f>
        <v>57358793.88000001</v>
      </c>
    </row>
    <row r="177" spans="1:10" ht="47.25" x14ac:dyDescent="0.25">
      <c r="A177" s="45" t="s">
        <v>231</v>
      </c>
      <c r="B177" s="101" t="s">
        <v>54</v>
      </c>
      <c r="C177" s="101" t="s">
        <v>83</v>
      </c>
      <c r="D177" s="101" t="s">
        <v>102</v>
      </c>
      <c r="E177" s="101" t="s">
        <v>72</v>
      </c>
      <c r="F177" s="102">
        <v>1</v>
      </c>
      <c r="G177" s="101" t="s">
        <v>68</v>
      </c>
      <c r="H177" s="101" t="s">
        <v>69</v>
      </c>
      <c r="I177" s="102"/>
      <c r="J177" s="97">
        <f>J178+J181+J183+J185+J187+J191+J193+J189</f>
        <v>57358793.88000001</v>
      </c>
    </row>
    <row r="178" spans="1:10" x14ac:dyDescent="0.25">
      <c r="A178" s="45" t="s">
        <v>232</v>
      </c>
      <c r="B178" s="101" t="s">
        <v>54</v>
      </c>
      <c r="C178" s="101" t="s">
        <v>83</v>
      </c>
      <c r="D178" s="101" t="s">
        <v>102</v>
      </c>
      <c r="E178" s="101" t="s">
        <v>72</v>
      </c>
      <c r="F178" s="102">
        <v>1</v>
      </c>
      <c r="G178" s="101" t="s">
        <v>68</v>
      </c>
      <c r="H178" s="101" t="s">
        <v>233</v>
      </c>
      <c r="I178" s="102"/>
      <c r="J178" s="97">
        <f>J179+J180</f>
        <v>42619358.420000009</v>
      </c>
    </row>
    <row r="179" spans="1:10" ht="31.5" x14ac:dyDescent="0.25">
      <c r="A179" s="45" t="s">
        <v>75</v>
      </c>
      <c r="B179" s="101" t="s">
        <v>54</v>
      </c>
      <c r="C179" s="101" t="s">
        <v>83</v>
      </c>
      <c r="D179" s="101" t="s">
        <v>102</v>
      </c>
      <c r="E179" s="101" t="s">
        <v>72</v>
      </c>
      <c r="F179" s="102">
        <v>1</v>
      </c>
      <c r="G179" s="101" t="s">
        <v>68</v>
      </c>
      <c r="H179" s="101" t="s">
        <v>233</v>
      </c>
      <c r="I179" s="102">
        <v>240</v>
      </c>
      <c r="J179" s="97">
        <f>21123156.96+1687021.85+8299.93+16698655.3+124682.02+2975948.63+1593.73</f>
        <v>42619358.420000009</v>
      </c>
    </row>
    <row r="180" spans="1:10" hidden="1" x14ac:dyDescent="0.25">
      <c r="A180" s="45" t="s">
        <v>101</v>
      </c>
      <c r="B180" s="101" t="s">
        <v>54</v>
      </c>
      <c r="C180" s="101" t="s">
        <v>83</v>
      </c>
      <c r="D180" s="101" t="s">
        <v>102</v>
      </c>
      <c r="E180" s="101" t="s">
        <v>72</v>
      </c>
      <c r="F180" s="102">
        <v>1</v>
      </c>
      <c r="G180" s="101" t="s">
        <v>68</v>
      </c>
      <c r="H180" s="101" t="s">
        <v>233</v>
      </c>
      <c r="I180" s="102">
        <v>410</v>
      </c>
      <c r="J180" s="97">
        <v>0</v>
      </c>
    </row>
    <row r="181" spans="1:10" hidden="1" x14ac:dyDescent="0.25">
      <c r="A181" s="45" t="s">
        <v>234</v>
      </c>
      <c r="B181" s="101" t="s">
        <v>54</v>
      </c>
      <c r="C181" s="101" t="s">
        <v>83</v>
      </c>
      <c r="D181" s="101" t="s">
        <v>102</v>
      </c>
      <c r="E181" s="101" t="s">
        <v>72</v>
      </c>
      <c r="F181" s="102">
        <v>1</v>
      </c>
      <c r="G181" s="101" t="s">
        <v>68</v>
      </c>
      <c r="H181" s="101" t="s">
        <v>235</v>
      </c>
      <c r="I181" s="102"/>
      <c r="J181" s="97">
        <f>J182</f>
        <v>0</v>
      </c>
    </row>
    <row r="182" spans="1:10" ht="31.5" hidden="1" x14ac:dyDescent="0.25">
      <c r="A182" s="45" t="s">
        <v>75</v>
      </c>
      <c r="B182" s="101" t="s">
        <v>54</v>
      </c>
      <c r="C182" s="101" t="s">
        <v>83</v>
      </c>
      <c r="D182" s="101" t="s">
        <v>102</v>
      </c>
      <c r="E182" s="101" t="s">
        <v>72</v>
      </c>
      <c r="F182" s="102">
        <v>1</v>
      </c>
      <c r="G182" s="101" t="s">
        <v>68</v>
      </c>
      <c r="H182" s="101" t="s">
        <v>235</v>
      </c>
      <c r="I182" s="102">
        <v>240</v>
      </c>
      <c r="J182" s="97"/>
    </row>
    <row r="183" spans="1:10" hidden="1" x14ac:dyDescent="0.25">
      <c r="A183" s="45" t="s">
        <v>236</v>
      </c>
      <c r="B183" s="102">
        <v>871</v>
      </c>
      <c r="C183" s="101" t="s">
        <v>83</v>
      </c>
      <c r="D183" s="101" t="s">
        <v>102</v>
      </c>
      <c r="E183" s="101" t="s">
        <v>72</v>
      </c>
      <c r="F183" s="102">
        <v>1</v>
      </c>
      <c r="G183" s="101" t="s">
        <v>68</v>
      </c>
      <c r="H183" s="101" t="s">
        <v>237</v>
      </c>
      <c r="I183" s="102"/>
      <c r="J183" s="97">
        <f>J184</f>
        <v>0</v>
      </c>
    </row>
    <row r="184" spans="1:10" hidden="1" x14ac:dyDescent="0.25">
      <c r="A184" s="45" t="s">
        <v>101</v>
      </c>
      <c r="B184" s="102">
        <v>871</v>
      </c>
      <c r="C184" s="101" t="s">
        <v>83</v>
      </c>
      <c r="D184" s="101" t="s">
        <v>102</v>
      </c>
      <c r="E184" s="101" t="s">
        <v>72</v>
      </c>
      <c r="F184" s="102">
        <v>1</v>
      </c>
      <c r="G184" s="101" t="s">
        <v>68</v>
      </c>
      <c r="H184" s="101" t="s">
        <v>237</v>
      </c>
      <c r="I184" s="102">
        <v>410</v>
      </c>
      <c r="J184" s="97"/>
    </row>
    <row r="185" spans="1:10" ht="31.5" hidden="1" x14ac:dyDescent="0.25">
      <c r="A185" s="45" t="s">
        <v>238</v>
      </c>
      <c r="B185" s="102">
        <v>871</v>
      </c>
      <c r="C185" s="101" t="s">
        <v>83</v>
      </c>
      <c r="D185" s="101" t="s">
        <v>102</v>
      </c>
      <c r="E185" s="101" t="s">
        <v>72</v>
      </c>
      <c r="F185" s="102">
        <v>1</v>
      </c>
      <c r="G185" s="101" t="s">
        <v>68</v>
      </c>
      <c r="H185" s="101" t="s">
        <v>239</v>
      </c>
      <c r="I185" s="102"/>
      <c r="J185" s="97">
        <f>J186</f>
        <v>0</v>
      </c>
    </row>
    <row r="186" spans="1:10" ht="31.5" hidden="1" x14ac:dyDescent="0.25">
      <c r="A186" s="45" t="s">
        <v>75</v>
      </c>
      <c r="B186" s="102">
        <v>871</v>
      </c>
      <c r="C186" s="101" t="s">
        <v>83</v>
      </c>
      <c r="D186" s="101" t="s">
        <v>102</v>
      </c>
      <c r="E186" s="101" t="s">
        <v>72</v>
      </c>
      <c r="F186" s="102">
        <v>1</v>
      </c>
      <c r="G186" s="101" t="s">
        <v>68</v>
      </c>
      <c r="H186" s="101" t="s">
        <v>239</v>
      </c>
      <c r="I186" s="102">
        <v>240</v>
      </c>
      <c r="J186" s="97">
        <f>50000-50000</f>
        <v>0</v>
      </c>
    </row>
    <row r="187" spans="1:10" hidden="1" x14ac:dyDescent="0.25">
      <c r="A187" s="45" t="s">
        <v>410</v>
      </c>
      <c r="B187" s="102">
        <v>871</v>
      </c>
      <c r="C187" s="101" t="s">
        <v>83</v>
      </c>
      <c r="D187" s="101" t="s">
        <v>102</v>
      </c>
      <c r="E187" s="101" t="s">
        <v>72</v>
      </c>
      <c r="F187" s="102">
        <v>1</v>
      </c>
      <c r="G187" s="101" t="s">
        <v>68</v>
      </c>
      <c r="H187" s="101" t="s">
        <v>411</v>
      </c>
      <c r="I187" s="102"/>
      <c r="J187" s="97">
        <f>J188</f>
        <v>0</v>
      </c>
    </row>
    <row r="188" spans="1:10" hidden="1" x14ac:dyDescent="0.25">
      <c r="A188" s="45" t="s">
        <v>101</v>
      </c>
      <c r="B188" s="102">
        <v>871</v>
      </c>
      <c r="C188" s="101" t="s">
        <v>83</v>
      </c>
      <c r="D188" s="101" t="s">
        <v>102</v>
      </c>
      <c r="E188" s="101" t="s">
        <v>72</v>
      </c>
      <c r="F188" s="102">
        <v>1</v>
      </c>
      <c r="G188" s="101" t="s">
        <v>68</v>
      </c>
      <c r="H188" s="101" t="s">
        <v>411</v>
      </c>
      <c r="I188" s="102">
        <v>410</v>
      </c>
      <c r="J188" s="97">
        <v>0</v>
      </c>
    </row>
    <row r="189" spans="1:10" x14ac:dyDescent="0.25">
      <c r="A189" s="45" t="s">
        <v>240</v>
      </c>
      <c r="B189" s="102">
        <v>871</v>
      </c>
      <c r="C189" s="101" t="s">
        <v>83</v>
      </c>
      <c r="D189" s="101" t="s">
        <v>102</v>
      </c>
      <c r="E189" s="101" t="s">
        <v>72</v>
      </c>
      <c r="F189" s="102">
        <v>1</v>
      </c>
      <c r="G189" s="101" t="s">
        <v>68</v>
      </c>
      <c r="H189" s="101" t="s">
        <v>241</v>
      </c>
      <c r="I189" s="102"/>
      <c r="J189" s="97">
        <f>J190</f>
        <v>7450443.7300000004</v>
      </c>
    </row>
    <row r="190" spans="1:10" ht="31.5" x14ac:dyDescent="0.25">
      <c r="A190" s="45" t="s">
        <v>75</v>
      </c>
      <c r="B190" s="102">
        <v>871</v>
      </c>
      <c r="C190" s="101" t="s">
        <v>83</v>
      </c>
      <c r="D190" s="101" t="s">
        <v>102</v>
      </c>
      <c r="E190" s="101" t="s">
        <v>72</v>
      </c>
      <c r="F190" s="102">
        <v>1</v>
      </c>
      <c r="G190" s="101" t="s">
        <v>68</v>
      </c>
      <c r="H190" s="101" t="s">
        <v>241</v>
      </c>
      <c r="I190" s="102">
        <v>240</v>
      </c>
      <c r="J190" s="97">
        <v>7450443.7300000004</v>
      </c>
    </row>
    <row r="191" spans="1:10" hidden="1" x14ac:dyDescent="0.25">
      <c r="A191" s="45" t="s">
        <v>242</v>
      </c>
      <c r="B191" s="102">
        <v>871</v>
      </c>
      <c r="C191" s="101" t="s">
        <v>83</v>
      </c>
      <c r="D191" s="101" t="s">
        <v>102</v>
      </c>
      <c r="E191" s="101" t="s">
        <v>72</v>
      </c>
      <c r="F191" s="102">
        <v>1</v>
      </c>
      <c r="G191" s="101" t="s">
        <v>68</v>
      </c>
      <c r="H191" s="101" t="s">
        <v>243</v>
      </c>
      <c r="I191" s="102"/>
      <c r="J191" s="97">
        <f>J192</f>
        <v>0</v>
      </c>
    </row>
    <row r="192" spans="1:10" hidden="1" x14ac:dyDescent="0.25">
      <c r="A192" s="45" t="s">
        <v>101</v>
      </c>
      <c r="B192" s="102">
        <v>871</v>
      </c>
      <c r="C192" s="101" t="s">
        <v>83</v>
      </c>
      <c r="D192" s="101" t="s">
        <v>102</v>
      </c>
      <c r="E192" s="101" t="s">
        <v>72</v>
      </c>
      <c r="F192" s="102">
        <v>1</v>
      </c>
      <c r="G192" s="101" t="s">
        <v>68</v>
      </c>
      <c r="H192" s="101" t="s">
        <v>243</v>
      </c>
      <c r="I192" s="102">
        <v>410</v>
      </c>
      <c r="J192" s="97"/>
    </row>
    <row r="193" spans="1:10" ht="31.5" x14ac:dyDescent="0.25">
      <c r="A193" s="45" t="s">
        <v>244</v>
      </c>
      <c r="B193" s="102">
        <v>871</v>
      </c>
      <c r="C193" s="101" t="s">
        <v>83</v>
      </c>
      <c r="D193" s="101" t="s">
        <v>102</v>
      </c>
      <c r="E193" s="101" t="s">
        <v>72</v>
      </c>
      <c r="F193" s="102">
        <v>1</v>
      </c>
      <c r="G193" s="101" t="s">
        <v>68</v>
      </c>
      <c r="H193" s="101" t="s">
        <v>245</v>
      </c>
      <c r="I193" s="102"/>
      <c r="J193" s="97">
        <f>J194</f>
        <v>7288991.7300000004</v>
      </c>
    </row>
    <row r="194" spans="1:10" ht="31.5" x14ac:dyDescent="0.25">
      <c r="A194" s="45" t="s">
        <v>75</v>
      </c>
      <c r="B194" s="102">
        <v>871</v>
      </c>
      <c r="C194" s="101" t="s">
        <v>83</v>
      </c>
      <c r="D194" s="101" t="s">
        <v>102</v>
      </c>
      <c r="E194" s="101" t="s">
        <v>72</v>
      </c>
      <c r="F194" s="102">
        <v>1</v>
      </c>
      <c r="G194" s="101" t="s">
        <v>68</v>
      </c>
      <c r="H194" s="101" t="s">
        <v>245</v>
      </c>
      <c r="I194" s="102">
        <v>240</v>
      </c>
      <c r="J194" s="97">
        <f>3114803.01-124682.02+4298870.74</f>
        <v>7288991.7300000004</v>
      </c>
    </row>
    <row r="195" spans="1:10" x14ac:dyDescent="0.25">
      <c r="A195" s="45" t="s">
        <v>115</v>
      </c>
      <c r="B195" s="102">
        <v>871</v>
      </c>
      <c r="C195" s="101" t="s">
        <v>83</v>
      </c>
      <c r="D195" s="101" t="s">
        <v>90</v>
      </c>
      <c r="E195" s="101"/>
      <c r="F195" s="101"/>
      <c r="G195" s="101"/>
      <c r="H195" s="101"/>
      <c r="I195" s="102" t="s">
        <v>135</v>
      </c>
      <c r="J195" s="97">
        <f>J196</f>
        <v>81936</v>
      </c>
    </row>
    <row r="196" spans="1:10" x14ac:dyDescent="0.25">
      <c r="A196" s="45" t="s">
        <v>80</v>
      </c>
      <c r="B196" s="102">
        <v>871</v>
      </c>
      <c r="C196" s="101" t="s">
        <v>83</v>
      </c>
      <c r="D196" s="101" t="s">
        <v>90</v>
      </c>
      <c r="E196" s="101" t="s">
        <v>81</v>
      </c>
      <c r="F196" s="102">
        <v>0</v>
      </c>
      <c r="G196" s="101" t="s">
        <v>68</v>
      </c>
      <c r="H196" s="101" t="s">
        <v>69</v>
      </c>
      <c r="I196" s="102"/>
      <c r="J196" s="97">
        <f>J197</f>
        <v>81936</v>
      </c>
    </row>
    <row r="197" spans="1:10" x14ac:dyDescent="0.25">
      <c r="A197" s="45" t="s">
        <v>207</v>
      </c>
      <c r="B197" s="101" t="s">
        <v>54</v>
      </c>
      <c r="C197" s="101" t="s">
        <v>83</v>
      </c>
      <c r="D197" s="101" t="s">
        <v>90</v>
      </c>
      <c r="E197" s="101" t="s">
        <v>81</v>
      </c>
      <c r="F197" s="102">
        <v>9</v>
      </c>
      <c r="G197" s="101" t="s">
        <v>68</v>
      </c>
      <c r="H197" s="101" t="s">
        <v>69</v>
      </c>
      <c r="I197" s="102"/>
      <c r="J197" s="97">
        <f>J198</f>
        <v>81936</v>
      </c>
    </row>
    <row r="198" spans="1:10" ht="31.5" x14ac:dyDescent="0.25">
      <c r="A198" s="45" t="s">
        <v>246</v>
      </c>
      <c r="B198" s="101" t="s">
        <v>54</v>
      </c>
      <c r="C198" s="101" t="s">
        <v>83</v>
      </c>
      <c r="D198" s="101" t="s">
        <v>90</v>
      </c>
      <c r="E198" s="101" t="s">
        <v>81</v>
      </c>
      <c r="F198" s="102">
        <v>9</v>
      </c>
      <c r="G198" s="101" t="s">
        <v>68</v>
      </c>
      <c r="H198" s="101" t="s">
        <v>116</v>
      </c>
      <c r="I198" s="102"/>
      <c r="J198" s="97">
        <f>J199</f>
        <v>81936</v>
      </c>
    </row>
    <row r="199" spans="1:10" ht="31.5" x14ac:dyDescent="0.25">
      <c r="A199" s="45" t="s">
        <v>75</v>
      </c>
      <c r="B199" s="101" t="s">
        <v>54</v>
      </c>
      <c r="C199" s="101" t="s">
        <v>83</v>
      </c>
      <c r="D199" s="101" t="s">
        <v>90</v>
      </c>
      <c r="E199" s="101" t="s">
        <v>81</v>
      </c>
      <c r="F199" s="102">
        <v>9</v>
      </c>
      <c r="G199" s="101" t="s">
        <v>68</v>
      </c>
      <c r="H199" s="101" t="s">
        <v>116</v>
      </c>
      <c r="I199" s="102">
        <v>240</v>
      </c>
      <c r="J199" s="97">
        <v>81936</v>
      </c>
    </row>
    <row r="200" spans="1:10" x14ac:dyDescent="0.25">
      <c r="A200" s="44" t="s">
        <v>117</v>
      </c>
      <c r="B200" s="102">
        <v>871</v>
      </c>
      <c r="C200" s="101" t="s">
        <v>83</v>
      </c>
      <c r="D200" s="101" t="s">
        <v>97</v>
      </c>
      <c r="E200" s="101"/>
      <c r="F200" s="101"/>
      <c r="G200" s="101"/>
      <c r="H200" s="101"/>
      <c r="I200" s="102" t="s">
        <v>135</v>
      </c>
      <c r="J200" s="96">
        <f>J201</f>
        <v>30000</v>
      </c>
    </row>
    <row r="201" spans="1:10" ht="63" x14ac:dyDescent="0.25">
      <c r="A201" s="45" t="s">
        <v>247</v>
      </c>
      <c r="B201" s="102">
        <v>871</v>
      </c>
      <c r="C201" s="101" t="s">
        <v>83</v>
      </c>
      <c r="D201" s="101" t="s">
        <v>97</v>
      </c>
      <c r="E201" s="101" t="s">
        <v>83</v>
      </c>
      <c r="F201" s="102">
        <v>0</v>
      </c>
      <c r="G201" s="101" t="s">
        <v>68</v>
      </c>
      <c r="H201" s="101" t="s">
        <v>69</v>
      </c>
      <c r="I201" s="102"/>
      <c r="J201" s="97">
        <f>J202</f>
        <v>30000</v>
      </c>
    </row>
    <row r="202" spans="1:10" x14ac:dyDescent="0.25">
      <c r="A202" s="45" t="s">
        <v>249</v>
      </c>
      <c r="B202" s="101" t="s">
        <v>54</v>
      </c>
      <c r="C202" s="101" t="s">
        <v>83</v>
      </c>
      <c r="D202" s="101" t="s">
        <v>97</v>
      </c>
      <c r="E202" s="101" t="s">
        <v>83</v>
      </c>
      <c r="F202" s="102">
        <v>0</v>
      </c>
      <c r="G202" s="101" t="s">
        <v>68</v>
      </c>
      <c r="H202" s="101" t="s">
        <v>250</v>
      </c>
      <c r="I202" s="102"/>
      <c r="J202" s="97">
        <f>J203</f>
        <v>30000</v>
      </c>
    </row>
    <row r="203" spans="1:10" ht="47.25" x14ac:dyDescent="0.25">
      <c r="A203" s="45" t="s">
        <v>248</v>
      </c>
      <c r="B203" s="101" t="s">
        <v>54</v>
      </c>
      <c r="C203" s="101" t="s">
        <v>83</v>
      </c>
      <c r="D203" s="101" t="s">
        <v>97</v>
      </c>
      <c r="E203" s="101" t="s">
        <v>83</v>
      </c>
      <c r="F203" s="102">
        <v>0</v>
      </c>
      <c r="G203" s="101" t="s">
        <v>68</v>
      </c>
      <c r="H203" s="101" t="s">
        <v>250</v>
      </c>
      <c r="I203" s="102">
        <v>810</v>
      </c>
      <c r="J203" s="97">
        <v>30000</v>
      </c>
    </row>
    <row r="204" spans="1:10" x14ac:dyDescent="0.25">
      <c r="A204" s="50" t="s">
        <v>424</v>
      </c>
      <c r="B204" s="101" t="s">
        <v>54</v>
      </c>
      <c r="C204" s="101" t="s">
        <v>84</v>
      </c>
      <c r="D204" s="102" t="s">
        <v>22</v>
      </c>
      <c r="E204" s="101"/>
      <c r="F204" s="102"/>
      <c r="G204" s="101"/>
      <c r="H204" s="101"/>
      <c r="I204" s="102"/>
      <c r="J204" s="97">
        <f>J205+J217+J260</f>
        <v>97628238.600000009</v>
      </c>
    </row>
    <row r="205" spans="1:10" x14ac:dyDescent="0.25">
      <c r="A205" s="44" t="s">
        <v>118</v>
      </c>
      <c r="B205" s="101" t="s">
        <v>54</v>
      </c>
      <c r="C205" s="101" t="s">
        <v>84</v>
      </c>
      <c r="D205" s="102" t="s">
        <v>65</v>
      </c>
      <c r="E205" s="101" t="s">
        <v>68</v>
      </c>
      <c r="F205" s="102">
        <v>0</v>
      </c>
      <c r="G205" s="101" t="s">
        <v>68</v>
      </c>
      <c r="H205" s="101" t="s">
        <v>69</v>
      </c>
      <c r="I205" s="102"/>
      <c r="J205" s="97">
        <f>J206+J213</f>
        <v>21215621.52</v>
      </c>
    </row>
    <row r="206" spans="1:10" ht="47.25" x14ac:dyDescent="0.25">
      <c r="A206" s="45" t="s">
        <v>251</v>
      </c>
      <c r="B206" s="101" t="s">
        <v>54</v>
      </c>
      <c r="C206" s="101" t="s">
        <v>84</v>
      </c>
      <c r="D206" s="101" t="s">
        <v>65</v>
      </c>
      <c r="E206" s="101" t="s">
        <v>84</v>
      </c>
      <c r="F206" s="102">
        <v>0</v>
      </c>
      <c r="G206" s="101" t="s">
        <v>68</v>
      </c>
      <c r="H206" s="101" t="s">
        <v>69</v>
      </c>
      <c r="I206" s="102"/>
      <c r="J206" s="97">
        <f>J207+J210</f>
        <v>19675200</v>
      </c>
    </row>
    <row r="207" spans="1:10" ht="31.5" x14ac:dyDescent="0.25">
      <c r="A207" s="45" t="s">
        <v>252</v>
      </c>
      <c r="B207" s="101" t="s">
        <v>54</v>
      </c>
      <c r="C207" s="101" t="s">
        <v>84</v>
      </c>
      <c r="D207" s="101" t="s">
        <v>65</v>
      </c>
      <c r="E207" s="101" t="s">
        <v>84</v>
      </c>
      <c r="F207" s="102">
        <v>1</v>
      </c>
      <c r="G207" s="101" t="s">
        <v>68</v>
      </c>
      <c r="H207" s="101" t="s">
        <v>69</v>
      </c>
      <c r="I207" s="102"/>
      <c r="J207" s="97">
        <f>J208</f>
        <v>50000</v>
      </c>
    </row>
    <row r="208" spans="1:10" x14ac:dyDescent="0.25">
      <c r="A208" s="45" t="s">
        <v>253</v>
      </c>
      <c r="B208" s="101" t="s">
        <v>54</v>
      </c>
      <c r="C208" s="101" t="s">
        <v>84</v>
      </c>
      <c r="D208" s="101" t="s">
        <v>65</v>
      </c>
      <c r="E208" s="101" t="s">
        <v>84</v>
      </c>
      <c r="F208" s="102">
        <v>1</v>
      </c>
      <c r="G208" s="101" t="s">
        <v>68</v>
      </c>
      <c r="H208" s="101" t="s">
        <v>254</v>
      </c>
      <c r="I208" s="102"/>
      <c r="J208" s="97">
        <f>J209</f>
        <v>50000</v>
      </c>
    </row>
    <row r="209" spans="1:10" ht="31.5" x14ac:dyDescent="0.25">
      <c r="A209" s="45" t="s">
        <v>75</v>
      </c>
      <c r="B209" s="101" t="s">
        <v>54</v>
      </c>
      <c r="C209" s="101" t="s">
        <v>84</v>
      </c>
      <c r="D209" s="101" t="s">
        <v>65</v>
      </c>
      <c r="E209" s="101" t="s">
        <v>84</v>
      </c>
      <c r="F209" s="102">
        <v>1</v>
      </c>
      <c r="G209" s="101" t="s">
        <v>68</v>
      </c>
      <c r="H209" s="101" t="s">
        <v>254</v>
      </c>
      <c r="I209" s="102">
        <v>240</v>
      </c>
      <c r="J209" s="97">
        <v>50000</v>
      </c>
    </row>
    <row r="210" spans="1:10" ht="47.25" x14ac:dyDescent="0.25">
      <c r="A210" s="45" t="s">
        <v>256</v>
      </c>
      <c r="B210" s="101" t="s">
        <v>54</v>
      </c>
      <c r="C210" s="101" t="s">
        <v>84</v>
      </c>
      <c r="D210" s="101" t="s">
        <v>65</v>
      </c>
      <c r="E210" s="101" t="s">
        <v>84</v>
      </c>
      <c r="F210" s="102">
        <v>6</v>
      </c>
      <c r="G210" s="101" t="s">
        <v>68</v>
      </c>
      <c r="H210" s="101" t="s">
        <v>69</v>
      </c>
      <c r="I210" s="102"/>
      <c r="J210" s="97">
        <f>J211</f>
        <v>19625200</v>
      </c>
    </row>
    <row r="211" spans="1:10" x14ac:dyDescent="0.25">
      <c r="A211" s="45" t="s">
        <v>257</v>
      </c>
      <c r="B211" s="101" t="s">
        <v>54</v>
      </c>
      <c r="C211" s="101" t="s">
        <v>84</v>
      </c>
      <c r="D211" s="101" t="s">
        <v>65</v>
      </c>
      <c r="E211" s="101" t="s">
        <v>84</v>
      </c>
      <c r="F211" s="102">
        <v>6</v>
      </c>
      <c r="G211" s="101" t="s">
        <v>68</v>
      </c>
      <c r="H211" s="101" t="s">
        <v>258</v>
      </c>
      <c r="I211" s="102"/>
      <c r="J211" s="97">
        <f>J212</f>
        <v>19625200</v>
      </c>
    </row>
    <row r="212" spans="1:10" x14ac:dyDescent="0.25">
      <c r="A212" s="45" t="s">
        <v>101</v>
      </c>
      <c r="B212" s="101" t="s">
        <v>54</v>
      </c>
      <c r="C212" s="101" t="s">
        <v>84</v>
      </c>
      <c r="D212" s="101" t="s">
        <v>65</v>
      </c>
      <c r="E212" s="101" t="s">
        <v>84</v>
      </c>
      <c r="F212" s="102">
        <v>6</v>
      </c>
      <c r="G212" s="101" t="s">
        <v>68</v>
      </c>
      <c r="H212" s="101" t="s">
        <v>258</v>
      </c>
      <c r="I212" s="102">
        <v>410</v>
      </c>
      <c r="J212" s="97">
        <f>20455200-830000</f>
        <v>19625200</v>
      </c>
    </row>
    <row r="213" spans="1:10" x14ac:dyDescent="0.25">
      <c r="A213" s="45" t="s">
        <v>80</v>
      </c>
      <c r="B213" s="101" t="s">
        <v>54</v>
      </c>
      <c r="C213" s="101" t="s">
        <v>84</v>
      </c>
      <c r="D213" s="102" t="s">
        <v>65</v>
      </c>
      <c r="E213" s="101" t="s">
        <v>81</v>
      </c>
      <c r="F213" s="102">
        <v>0</v>
      </c>
      <c r="G213" s="101" t="s">
        <v>68</v>
      </c>
      <c r="H213" s="101" t="s">
        <v>69</v>
      </c>
      <c r="I213" s="102"/>
      <c r="J213" s="97">
        <f>J214</f>
        <v>1540421.52</v>
      </c>
    </row>
    <row r="214" spans="1:10" x14ac:dyDescent="0.25">
      <c r="A214" s="45" t="s">
        <v>207</v>
      </c>
      <c r="B214" s="101" t="s">
        <v>54</v>
      </c>
      <c r="C214" s="101" t="s">
        <v>84</v>
      </c>
      <c r="D214" s="102" t="s">
        <v>65</v>
      </c>
      <c r="E214" s="101" t="s">
        <v>81</v>
      </c>
      <c r="F214" s="102">
        <v>9</v>
      </c>
      <c r="G214" s="101" t="s">
        <v>68</v>
      </c>
      <c r="H214" s="101" t="s">
        <v>69</v>
      </c>
      <c r="I214" s="102"/>
      <c r="J214" s="97">
        <f>J215</f>
        <v>1540421.52</v>
      </c>
    </row>
    <row r="215" spans="1:10" ht="47.25" x14ac:dyDescent="0.25">
      <c r="A215" s="45" t="s">
        <v>259</v>
      </c>
      <c r="B215" s="101" t="s">
        <v>54</v>
      </c>
      <c r="C215" s="101" t="s">
        <v>84</v>
      </c>
      <c r="D215" s="102" t="s">
        <v>65</v>
      </c>
      <c r="E215" s="101" t="s">
        <v>81</v>
      </c>
      <c r="F215" s="102">
        <v>9</v>
      </c>
      <c r="G215" s="101" t="s">
        <v>68</v>
      </c>
      <c r="H215" s="101" t="s">
        <v>260</v>
      </c>
      <c r="I215" s="102"/>
      <c r="J215" s="97">
        <f>J216</f>
        <v>1540421.52</v>
      </c>
    </row>
    <row r="216" spans="1:10" ht="31.5" x14ac:dyDescent="0.25">
      <c r="A216" s="45" t="s">
        <v>75</v>
      </c>
      <c r="B216" s="101" t="s">
        <v>54</v>
      </c>
      <c r="C216" s="101" t="s">
        <v>84</v>
      </c>
      <c r="D216" s="102" t="s">
        <v>65</v>
      </c>
      <c r="E216" s="101" t="s">
        <v>81</v>
      </c>
      <c r="F216" s="102">
        <v>9</v>
      </c>
      <c r="G216" s="101" t="s">
        <v>68</v>
      </c>
      <c r="H216" s="101" t="s">
        <v>260</v>
      </c>
      <c r="I216" s="102">
        <v>240</v>
      </c>
      <c r="J216" s="97">
        <f>1205202.09+335219.43</f>
        <v>1540421.52</v>
      </c>
    </row>
    <row r="217" spans="1:10" x14ac:dyDescent="0.25">
      <c r="A217" s="44" t="s">
        <v>119</v>
      </c>
      <c r="B217" s="101" t="s">
        <v>54</v>
      </c>
      <c r="C217" s="101" t="s">
        <v>84</v>
      </c>
      <c r="D217" s="102" t="s">
        <v>72</v>
      </c>
      <c r="E217" s="101" t="s">
        <v>134</v>
      </c>
      <c r="F217" s="102"/>
      <c r="G217" s="101"/>
      <c r="H217" s="101"/>
      <c r="I217" s="102"/>
      <c r="J217" s="96">
        <f>J218+J245+J256</f>
        <v>50540520.690000005</v>
      </c>
    </row>
    <row r="218" spans="1:10" ht="47.25" x14ac:dyDescent="0.25">
      <c r="A218" s="44" t="s">
        <v>230</v>
      </c>
      <c r="B218" s="101" t="s">
        <v>54</v>
      </c>
      <c r="C218" s="101" t="s">
        <v>84</v>
      </c>
      <c r="D218" s="101" t="s">
        <v>72</v>
      </c>
      <c r="E218" s="101" t="s">
        <v>72</v>
      </c>
      <c r="F218" s="102">
        <v>0</v>
      </c>
      <c r="G218" s="101" t="s">
        <v>68</v>
      </c>
      <c r="H218" s="101" t="s">
        <v>69</v>
      </c>
      <c r="I218" s="102"/>
      <c r="J218" s="97">
        <f>J219+J226</f>
        <v>49996592.010000005</v>
      </c>
    </row>
    <row r="219" spans="1:10" ht="31.5" x14ac:dyDescent="0.25">
      <c r="A219" s="45" t="s">
        <v>261</v>
      </c>
      <c r="B219" s="101" t="s">
        <v>54</v>
      </c>
      <c r="C219" s="101" t="s">
        <v>84</v>
      </c>
      <c r="D219" s="101" t="s">
        <v>72</v>
      </c>
      <c r="E219" s="101" t="s">
        <v>72</v>
      </c>
      <c r="F219" s="102">
        <v>2</v>
      </c>
      <c r="G219" s="101" t="s">
        <v>68</v>
      </c>
      <c r="H219" s="101" t="s">
        <v>69</v>
      </c>
      <c r="I219" s="102"/>
      <c r="J219" s="97">
        <f>J220+J222+J224</f>
        <v>10638304.280000001</v>
      </c>
    </row>
    <row r="220" spans="1:10" x14ac:dyDescent="0.25">
      <c r="A220" s="45" t="s">
        <v>262</v>
      </c>
      <c r="B220" s="101" t="s">
        <v>54</v>
      </c>
      <c r="C220" s="101" t="s">
        <v>84</v>
      </c>
      <c r="D220" s="101" t="s">
        <v>72</v>
      </c>
      <c r="E220" s="101" t="s">
        <v>72</v>
      </c>
      <c r="F220" s="102">
        <v>2</v>
      </c>
      <c r="G220" s="101" t="s">
        <v>68</v>
      </c>
      <c r="H220" s="101" t="s">
        <v>255</v>
      </c>
      <c r="I220" s="102"/>
      <c r="J220" s="97">
        <f>J221</f>
        <v>720000</v>
      </c>
    </row>
    <row r="221" spans="1:10" x14ac:dyDescent="0.25">
      <c r="A221" s="45" t="s">
        <v>101</v>
      </c>
      <c r="B221" s="101" t="s">
        <v>54</v>
      </c>
      <c r="C221" s="101" t="s">
        <v>84</v>
      </c>
      <c r="D221" s="101" t="s">
        <v>72</v>
      </c>
      <c r="E221" s="101" t="s">
        <v>72</v>
      </c>
      <c r="F221" s="102">
        <v>2</v>
      </c>
      <c r="G221" s="101" t="s">
        <v>68</v>
      </c>
      <c r="H221" s="101" t="s">
        <v>255</v>
      </c>
      <c r="I221" s="102">
        <v>410</v>
      </c>
      <c r="J221" s="97">
        <v>720000</v>
      </c>
    </row>
    <row r="222" spans="1:10" x14ac:dyDescent="0.25">
      <c r="A222" s="45" t="s">
        <v>263</v>
      </c>
      <c r="B222" s="101" t="s">
        <v>54</v>
      </c>
      <c r="C222" s="101" t="s">
        <v>84</v>
      </c>
      <c r="D222" s="101" t="s">
        <v>72</v>
      </c>
      <c r="E222" s="101" t="s">
        <v>72</v>
      </c>
      <c r="F222" s="102">
        <v>2</v>
      </c>
      <c r="G222" s="101" t="s">
        <v>68</v>
      </c>
      <c r="H222" s="101" t="s">
        <v>264</v>
      </c>
      <c r="I222" s="102"/>
      <c r="J222" s="97">
        <f>J223</f>
        <v>7318304.2800000003</v>
      </c>
    </row>
    <row r="223" spans="1:10" ht="31.5" x14ac:dyDescent="0.25">
      <c r="A223" s="45" t="s">
        <v>75</v>
      </c>
      <c r="B223" s="101" t="s">
        <v>54</v>
      </c>
      <c r="C223" s="101" t="s">
        <v>84</v>
      </c>
      <c r="D223" s="101" t="s">
        <v>72</v>
      </c>
      <c r="E223" s="101" t="s">
        <v>72</v>
      </c>
      <c r="F223" s="102">
        <v>2</v>
      </c>
      <c r="G223" s="101" t="s">
        <v>68</v>
      </c>
      <c r="H223" s="101" t="s">
        <v>264</v>
      </c>
      <c r="I223" s="102">
        <v>240</v>
      </c>
      <c r="J223" s="97">
        <v>7318304.2800000003</v>
      </c>
    </row>
    <row r="224" spans="1:10" x14ac:dyDescent="0.25">
      <c r="A224" s="45" t="s">
        <v>265</v>
      </c>
      <c r="B224" s="101" t="s">
        <v>54</v>
      </c>
      <c r="C224" s="101" t="s">
        <v>84</v>
      </c>
      <c r="D224" s="101" t="s">
        <v>72</v>
      </c>
      <c r="E224" s="101" t="s">
        <v>72</v>
      </c>
      <c r="F224" s="102">
        <v>2</v>
      </c>
      <c r="G224" s="101" t="s">
        <v>68</v>
      </c>
      <c r="H224" s="101" t="s">
        <v>266</v>
      </c>
      <c r="I224" s="102"/>
      <c r="J224" s="97">
        <f>J225</f>
        <v>2600000</v>
      </c>
    </row>
    <row r="225" spans="1:10" ht="31.5" x14ac:dyDescent="0.25">
      <c r="A225" s="45" t="s">
        <v>75</v>
      </c>
      <c r="B225" s="101" t="s">
        <v>54</v>
      </c>
      <c r="C225" s="101" t="s">
        <v>84</v>
      </c>
      <c r="D225" s="101" t="s">
        <v>72</v>
      </c>
      <c r="E225" s="101" t="s">
        <v>72</v>
      </c>
      <c r="F225" s="102">
        <v>2</v>
      </c>
      <c r="G225" s="101" t="s">
        <v>68</v>
      </c>
      <c r="H225" s="101" t="s">
        <v>266</v>
      </c>
      <c r="I225" s="102">
        <v>240</v>
      </c>
      <c r="J225" s="97">
        <f>2000000+600000</f>
        <v>2600000</v>
      </c>
    </row>
    <row r="226" spans="1:10" ht="31.5" x14ac:dyDescent="0.25">
      <c r="A226" s="45" t="s">
        <v>267</v>
      </c>
      <c r="B226" s="101" t="s">
        <v>54</v>
      </c>
      <c r="C226" s="101" t="s">
        <v>84</v>
      </c>
      <c r="D226" s="101" t="s">
        <v>72</v>
      </c>
      <c r="E226" s="101" t="s">
        <v>72</v>
      </c>
      <c r="F226" s="102">
        <v>3</v>
      </c>
      <c r="G226" s="101" t="s">
        <v>68</v>
      </c>
      <c r="H226" s="101" t="s">
        <v>69</v>
      </c>
      <c r="I226" s="102"/>
      <c r="J226" s="97">
        <f>J227+J229+J231+J233+J235+J237+J239+J241+J243</f>
        <v>39358287.730000004</v>
      </c>
    </row>
    <row r="227" spans="1:10" ht="31.5" x14ac:dyDescent="0.25">
      <c r="A227" s="45" t="s">
        <v>447</v>
      </c>
      <c r="B227" s="118" t="s">
        <v>54</v>
      </c>
      <c r="C227" s="118" t="s">
        <v>84</v>
      </c>
      <c r="D227" s="118" t="s">
        <v>72</v>
      </c>
      <c r="E227" s="118" t="s">
        <v>72</v>
      </c>
      <c r="F227" s="119">
        <v>3</v>
      </c>
      <c r="G227" s="118" t="s">
        <v>68</v>
      </c>
      <c r="H227" s="122" t="s">
        <v>446</v>
      </c>
      <c r="I227" s="119"/>
      <c r="J227" s="97">
        <f>J228</f>
        <v>2107912.62</v>
      </c>
    </row>
    <row r="228" spans="1:10" ht="31.5" x14ac:dyDescent="0.25">
      <c r="A228" s="45" t="s">
        <v>75</v>
      </c>
      <c r="B228" s="118" t="s">
        <v>54</v>
      </c>
      <c r="C228" s="118" t="s">
        <v>84</v>
      </c>
      <c r="D228" s="118" t="s">
        <v>72</v>
      </c>
      <c r="E228" s="118" t="s">
        <v>72</v>
      </c>
      <c r="F228" s="119">
        <v>3</v>
      </c>
      <c r="G228" s="118" t="s">
        <v>68</v>
      </c>
      <c r="H228" s="122" t="s">
        <v>446</v>
      </c>
      <c r="I228" s="119">
        <v>240</v>
      </c>
      <c r="J228" s="97">
        <v>2107912.62</v>
      </c>
    </row>
    <row r="229" spans="1:10" x14ac:dyDescent="0.25">
      <c r="A229" s="45" t="s">
        <v>268</v>
      </c>
      <c r="B229" s="101" t="s">
        <v>54</v>
      </c>
      <c r="C229" s="101" t="s">
        <v>84</v>
      </c>
      <c r="D229" s="101" t="s">
        <v>72</v>
      </c>
      <c r="E229" s="101" t="s">
        <v>72</v>
      </c>
      <c r="F229" s="102">
        <v>3</v>
      </c>
      <c r="G229" s="101" t="s">
        <v>68</v>
      </c>
      <c r="H229" s="101" t="s">
        <v>269</v>
      </c>
      <c r="I229" s="102"/>
      <c r="J229" s="97">
        <f>J230</f>
        <v>790000</v>
      </c>
    </row>
    <row r="230" spans="1:10" ht="31.5" x14ac:dyDescent="0.25">
      <c r="A230" s="45" t="s">
        <v>75</v>
      </c>
      <c r="B230" s="101" t="s">
        <v>54</v>
      </c>
      <c r="C230" s="101" t="s">
        <v>84</v>
      </c>
      <c r="D230" s="101" t="s">
        <v>72</v>
      </c>
      <c r="E230" s="101" t="s">
        <v>72</v>
      </c>
      <c r="F230" s="102">
        <v>3</v>
      </c>
      <c r="G230" s="101" t="s">
        <v>68</v>
      </c>
      <c r="H230" s="101" t="s">
        <v>269</v>
      </c>
      <c r="I230" s="102">
        <v>240</v>
      </c>
      <c r="J230" s="97">
        <f>520000+170000+100000</f>
        <v>790000</v>
      </c>
    </row>
    <row r="231" spans="1:10" x14ac:dyDescent="0.25">
      <c r="A231" s="45" t="s">
        <v>270</v>
      </c>
      <c r="B231" s="101" t="s">
        <v>54</v>
      </c>
      <c r="C231" s="101" t="s">
        <v>84</v>
      </c>
      <c r="D231" s="101" t="s">
        <v>72</v>
      </c>
      <c r="E231" s="101" t="s">
        <v>72</v>
      </c>
      <c r="F231" s="102">
        <v>3</v>
      </c>
      <c r="G231" s="101" t="s">
        <v>68</v>
      </c>
      <c r="H231" s="101" t="s">
        <v>271</v>
      </c>
      <c r="I231" s="102"/>
      <c r="J231" s="97">
        <f>J232</f>
        <v>1524541.22</v>
      </c>
    </row>
    <row r="232" spans="1:10" ht="31.5" x14ac:dyDescent="0.25">
      <c r="A232" s="45" t="s">
        <v>75</v>
      </c>
      <c r="B232" s="101" t="s">
        <v>54</v>
      </c>
      <c r="C232" s="101" t="s">
        <v>84</v>
      </c>
      <c r="D232" s="101" t="s">
        <v>72</v>
      </c>
      <c r="E232" s="101" t="s">
        <v>72</v>
      </c>
      <c r="F232" s="102">
        <v>3</v>
      </c>
      <c r="G232" s="101" t="s">
        <v>68</v>
      </c>
      <c r="H232" s="101" t="s">
        <v>271</v>
      </c>
      <c r="I232" s="102">
        <v>240</v>
      </c>
      <c r="J232" s="97">
        <f>600000+400000+70698.44+453842.78</f>
        <v>1524541.22</v>
      </c>
    </row>
    <row r="233" spans="1:10" x14ac:dyDescent="0.25">
      <c r="A233" s="45" t="s">
        <v>272</v>
      </c>
      <c r="B233" s="101" t="s">
        <v>54</v>
      </c>
      <c r="C233" s="101" t="s">
        <v>84</v>
      </c>
      <c r="D233" s="101" t="s">
        <v>72</v>
      </c>
      <c r="E233" s="101" t="s">
        <v>72</v>
      </c>
      <c r="F233" s="102">
        <v>3</v>
      </c>
      <c r="G233" s="101" t="s">
        <v>68</v>
      </c>
      <c r="H233" s="102">
        <v>29220</v>
      </c>
      <c r="I233" s="102"/>
      <c r="J233" s="97">
        <f>J234</f>
        <v>1528409.6</v>
      </c>
    </row>
    <row r="234" spans="1:10" ht="31.5" x14ac:dyDescent="0.25">
      <c r="A234" s="45" t="s">
        <v>75</v>
      </c>
      <c r="B234" s="101" t="s">
        <v>54</v>
      </c>
      <c r="C234" s="101" t="s">
        <v>84</v>
      </c>
      <c r="D234" s="101" t="s">
        <v>72</v>
      </c>
      <c r="E234" s="101" t="s">
        <v>72</v>
      </c>
      <c r="F234" s="102">
        <v>3</v>
      </c>
      <c r="G234" s="101" t="s">
        <v>68</v>
      </c>
      <c r="H234" s="102">
        <v>29220</v>
      </c>
      <c r="I234" s="102">
        <v>240</v>
      </c>
      <c r="J234" s="97">
        <v>1528409.6</v>
      </c>
    </row>
    <row r="235" spans="1:10" x14ac:dyDescent="0.25">
      <c r="A235" s="45" t="s">
        <v>273</v>
      </c>
      <c r="B235" s="102">
        <v>871</v>
      </c>
      <c r="C235" s="101" t="s">
        <v>84</v>
      </c>
      <c r="D235" s="101" t="s">
        <v>72</v>
      </c>
      <c r="E235" s="101" t="s">
        <v>72</v>
      </c>
      <c r="F235" s="102">
        <v>3</v>
      </c>
      <c r="G235" s="101" t="s">
        <v>68</v>
      </c>
      <c r="H235" s="101" t="s">
        <v>274</v>
      </c>
      <c r="I235" s="102"/>
      <c r="J235" s="97">
        <f>J236</f>
        <v>20605245.620000001</v>
      </c>
    </row>
    <row r="236" spans="1:10" ht="31.5" x14ac:dyDescent="0.25">
      <c r="A236" s="45" t="s">
        <v>75</v>
      </c>
      <c r="B236" s="102">
        <v>871</v>
      </c>
      <c r="C236" s="101" t="s">
        <v>84</v>
      </c>
      <c r="D236" s="101" t="s">
        <v>72</v>
      </c>
      <c r="E236" s="101" t="s">
        <v>72</v>
      </c>
      <c r="F236" s="102">
        <v>3</v>
      </c>
      <c r="G236" s="101" t="s">
        <v>68</v>
      </c>
      <c r="H236" s="101" t="s">
        <v>274</v>
      </c>
      <c r="I236" s="102">
        <v>240</v>
      </c>
      <c r="J236" s="97">
        <f>11860216.63-300000+297606.76+1100+8401758.74-2000000-1500000+4300000-1593.73-453842.78</f>
        <v>20605245.620000001</v>
      </c>
    </row>
    <row r="237" spans="1:10" x14ac:dyDescent="0.25">
      <c r="A237" s="45" t="s">
        <v>275</v>
      </c>
      <c r="B237" s="102">
        <v>871</v>
      </c>
      <c r="C237" s="101" t="s">
        <v>84</v>
      </c>
      <c r="D237" s="101" t="s">
        <v>72</v>
      </c>
      <c r="E237" s="101" t="s">
        <v>72</v>
      </c>
      <c r="F237" s="102">
        <v>3</v>
      </c>
      <c r="G237" s="101" t="s">
        <v>68</v>
      </c>
      <c r="H237" s="102">
        <v>29490</v>
      </c>
      <c r="I237" s="102"/>
      <c r="J237" s="97">
        <f>J238</f>
        <v>3931209.19</v>
      </c>
    </row>
    <row r="238" spans="1:10" ht="31.5" x14ac:dyDescent="0.25">
      <c r="A238" s="45" t="s">
        <v>75</v>
      </c>
      <c r="B238" s="102">
        <v>871</v>
      </c>
      <c r="C238" s="101" t="s">
        <v>84</v>
      </c>
      <c r="D238" s="101" t="s">
        <v>72</v>
      </c>
      <c r="E238" s="101" t="s">
        <v>72</v>
      </c>
      <c r="F238" s="102">
        <v>3</v>
      </c>
      <c r="G238" s="101" t="s">
        <v>68</v>
      </c>
      <c r="H238" s="102">
        <v>29490</v>
      </c>
      <c r="I238" s="102">
        <v>240</v>
      </c>
      <c r="J238" s="97">
        <f>1500000+2000000+1086053.3-654844.11</f>
        <v>3931209.19</v>
      </c>
    </row>
    <row r="239" spans="1:10" x14ac:dyDescent="0.25">
      <c r="A239" s="45" t="s">
        <v>276</v>
      </c>
      <c r="B239" s="102">
        <v>871</v>
      </c>
      <c r="C239" s="101" t="s">
        <v>84</v>
      </c>
      <c r="D239" s="101" t="s">
        <v>72</v>
      </c>
      <c r="E239" s="101" t="s">
        <v>72</v>
      </c>
      <c r="F239" s="102">
        <v>3</v>
      </c>
      <c r="G239" s="101" t="s">
        <v>68</v>
      </c>
      <c r="H239" s="101" t="s">
        <v>277</v>
      </c>
      <c r="I239" s="102"/>
      <c r="J239" s="97">
        <f>J240</f>
        <v>7470969.4800000004</v>
      </c>
    </row>
    <row r="240" spans="1:10" ht="31.5" x14ac:dyDescent="0.25">
      <c r="A240" s="45" t="s">
        <v>75</v>
      </c>
      <c r="B240" s="102">
        <v>871</v>
      </c>
      <c r="C240" s="101" t="s">
        <v>84</v>
      </c>
      <c r="D240" s="101" t="s">
        <v>72</v>
      </c>
      <c r="E240" s="101" t="s">
        <v>72</v>
      </c>
      <c r="F240" s="102">
        <v>3</v>
      </c>
      <c r="G240" s="101" t="s">
        <v>68</v>
      </c>
      <c r="H240" s="101" t="s">
        <v>277</v>
      </c>
      <c r="I240" s="102">
        <v>240</v>
      </c>
      <c r="J240" s="97">
        <f>9470969.48-2000000</f>
        <v>7470969.4800000004</v>
      </c>
    </row>
    <row r="241" spans="1:10" ht="31.5" x14ac:dyDescent="0.25">
      <c r="A241" s="45" t="s">
        <v>278</v>
      </c>
      <c r="B241" s="102">
        <v>871</v>
      </c>
      <c r="C241" s="101" t="s">
        <v>84</v>
      </c>
      <c r="D241" s="101" t="s">
        <v>72</v>
      </c>
      <c r="E241" s="101" t="s">
        <v>72</v>
      </c>
      <c r="F241" s="102">
        <v>3</v>
      </c>
      <c r="G241" s="101" t="s">
        <v>68</v>
      </c>
      <c r="H241" s="101" t="s">
        <v>279</v>
      </c>
      <c r="I241" s="102"/>
      <c r="J241" s="97">
        <f>J242</f>
        <v>400000</v>
      </c>
    </row>
    <row r="242" spans="1:10" ht="31.5" x14ac:dyDescent="0.25">
      <c r="A242" s="45" t="s">
        <v>75</v>
      </c>
      <c r="B242" s="102">
        <v>871</v>
      </c>
      <c r="C242" s="101" t="s">
        <v>84</v>
      </c>
      <c r="D242" s="101" t="s">
        <v>72</v>
      </c>
      <c r="E242" s="101" t="s">
        <v>72</v>
      </c>
      <c r="F242" s="102">
        <v>3</v>
      </c>
      <c r="G242" s="101" t="s">
        <v>68</v>
      </c>
      <c r="H242" s="101" t="s">
        <v>279</v>
      </c>
      <c r="I242" s="102">
        <v>240</v>
      </c>
      <c r="J242" s="97">
        <v>400000</v>
      </c>
    </row>
    <row r="243" spans="1:10" x14ac:dyDescent="0.25">
      <c r="A243" s="45" t="s">
        <v>280</v>
      </c>
      <c r="B243" s="102">
        <v>871</v>
      </c>
      <c r="C243" s="101" t="s">
        <v>84</v>
      </c>
      <c r="D243" s="101" t="s">
        <v>72</v>
      </c>
      <c r="E243" s="101" t="s">
        <v>72</v>
      </c>
      <c r="F243" s="102">
        <v>3</v>
      </c>
      <c r="G243" s="101" t="s">
        <v>68</v>
      </c>
      <c r="H243" s="101" t="s">
        <v>281</v>
      </c>
      <c r="I243" s="102"/>
      <c r="J243" s="97">
        <f>J244</f>
        <v>1000000</v>
      </c>
    </row>
    <row r="244" spans="1:10" ht="31.5" x14ac:dyDescent="0.25">
      <c r="A244" s="45" t="s">
        <v>75</v>
      </c>
      <c r="B244" s="102">
        <v>871</v>
      </c>
      <c r="C244" s="101" t="s">
        <v>84</v>
      </c>
      <c r="D244" s="101" t="s">
        <v>72</v>
      </c>
      <c r="E244" s="101" t="s">
        <v>72</v>
      </c>
      <c r="F244" s="102">
        <v>3</v>
      </c>
      <c r="G244" s="101" t="s">
        <v>68</v>
      </c>
      <c r="H244" s="101" t="s">
        <v>281</v>
      </c>
      <c r="I244" s="102">
        <v>240</v>
      </c>
      <c r="J244" s="97">
        <f>1200000-617237.7+417237.7</f>
        <v>1000000</v>
      </c>
    </row>
    <row r="245" spans="1:10" ht="63" x14ac:dyDescent="0.25">
      <c r="A245" s="45" t="s">
        <v>282</v>
      </c>
      <c r="B245" s="102">
        <v>871</v>
      </c>
      <c r="C245" s="101" t="s">
        <v>84</v>
      </c>
      <c r="D245" s="101" t="s">
        <v>72</v>
      </c>
      <c r="E245" s="101" t="s">
        <v>110</v>
      </c>
      <c r="F245" s="102">
        <v>0</v>
      </c>
      <c r="G245" s="101" t="s">
        <v>68</v>
      </c>
      <c r="H245" s="101" t="s">
        <v>69</v>
      </c>
      <c r="I245" s="102"/>
      <c r="J245" s="97">
        <f>J246</f>
        <v>1428.6799999999998</v>
      </c>
    </row>
    <row r="246" spans="1:10" ht="47.25" x14ac:dyDescent="0.25">
      <c r="A246" s="45" t="s">
        <v>283</v>
      </c>
      <c r="B246" s="102">
        <v>871</v>
      </c>
      <c r="C246" s="101" t="s">
        <v>84</v>
      </c>
      <c r="D246" s="101" t="s">
        <v>72</v>
      </c>
      <c r="E246" s="101" t="s">
        <v>110</v>
      </c>
      <c r="F246" s="102">
        <v>1</v>
      </c>
      <c r="G246" s="101" t="s">
        <v>68</v>
      </c>
      <c r="H246" s="101" t="s">
        <v>69</v>
      </c>
      <c r="I246" s="102"/>
      <c r="J246" s="97">
        <f>J247+J250+J253</f>
        <v>1428.6799999999998</v>
      </c>
    </row>
    <row r="247" spans="1:10" hidden="1" x14ac:dyDescent="0.25">
      <c r="A247" s="45" t="s">
        <v>284</v>
      </c>
      <c r="B247" s="102">
        <v>871</v>
      </c>
      <c r="C247" s="101" t="s">
        <v>84</v>
      </c>
      <c r="D247" s="101" t="s">
        <v>72</v>
      </c>
      <c r="E247" s="101" t="s">
        <v>110</v>
      </c>
      <c r="F247" s="102">
        <v>1</v>
      </c>
      <c r="G247" s="101" t="s">
        <v>65</v>
      </c>
      <c r="H247" s="101" t="s">
        <v>69</v>
      </c>
      <c r="I247" s="102"/>
      <c r="J247" s="97">
        <f>J248</f>
        <v>0</v>
      </c>
    </row>
    <row r="248" spans="1:10" ht="94.5" hidden="1" x14ac:dyDescent="0.25">
      <c r="A248" s="45" t="s">
        <v>285</v>
      </c>
      <c r="B248" s="102">
        <v>871</v>
      </c>
      <c r="C248" s="101" t="s">
        <v>84</v>
      </c>
      <c r="D248" s="101" t="s">
        <v>72</v>
      </c>
      <c r="E248" s="101" t="s">
        <v>110</v>
      </c>
      <c r="F248" s="102">
        <v>1</v>
      </c>
      <c r="G248" s="101" t="s">
        <v>65</v>
      </c>
      <c r="H248" s="101" t="s">
        <v>286</v>
      </c>
      <c r="I248" s="102"/>
      <c r="J248" s="97">
        <f>J249</f>
        <v>0</v>
      </c>
    </row>
    <row r="249" spans="1:10" ht="31.5" hidden="1" x14ac:dyDescent="0.25">
      <c r="A249" s="45" t="s">
        <v>75</v>
      </c>
      <c r="B249" s="102">
        <v>871</v>
      </c>
      <c r="C249" s="101" t="s">
        <v>84</v>
      </c>
      <c r="D249" s="101" t="s">
        <v>72</v>
      </c>
      <c r="E249" s="101" t="s">
        <v>110</v>
      </c>
      <c r="F249" s="102">
        <v>1</v>
      </c>
      <c r="G249" s="101" t="s">
        <v>65</v>
      </c>
      <c r="H249" s="101" t="s">
        <v>286</v>
      </c>
      <c r="I249" s="102">
        <v>240</v>
      </c>
      <c r="J249" s="97">
        <v>0</v>
      </c>
    </row>
    <row r="250" spans="1:10" ht="31.5" hidden="1" x14ac:dyDescent="0.25">
      <c r="A250" s="45" t="s">
        <v>287</v>
      </c>
      <c r="B250" s="102">
        <v>871</v>
      </c>
      <c r="C250" s="101" t="s">
        <v>84</v>
      </c>
      <c r="D250" s="101" t="s">
        <v>72</v>
      </c>
      <c r="E250" s="101" t="s">
        <v>110</v>
      </c>
      <c r="F250" s="102">
        <v>1</v>
      </c>
      <c r="G250" s="101" t="s">
        <v>66</v>
      </c>
      <c r="H250" s="101" t="s">
        <v>69</v>
      </c>
      <c r="I250" s="102"/>
      <c r="J250" s="97">
        <f>J251</f>
        <v>0</v>
      </c>
    </row>
    <row r="251" spans="1:10" ht="94.5" hidden="1" x14ac:dyDescent="0.25">
      <c r="A251" s="45" t="s">
        <v>285</v>
      </c>
      <c r="B251" s="102">
        <v>871</v>
      </c>
      <c r="C251" s="101" t="s">
        <v>84</v>
      </c>
      <c r="D251" s="101" t="s">
        <v>72</v>
      </c>
      <c r="E251" s="101" t="s">
        <v>110</v>
      </c>
      <c r="F251" s="102">
        <v>1</v>
      </c>
      <c r="G251" s="101" t="s">
        <v>66</v>
      </c>
      <c r="H251" s="101" t="s">
        <v>286</v>
      </c>
      <c r="I251" s="102"/>
      <c r="J251" s="97">
        <f>J252</f>
        <v>0</v>
      </c>
    </row>
    <row r="252" spans="1:10" ht="31.5" hidden="1" x14ac:dyDescent="0.25">
      <c r="A252" s="45" t="s">
        <v>75</v>
      </c>
      <c r="B252" s="102">
        <v>871</v>
      </c>
      <c r="C252" s="101" t="s">
        <v>84</v>
      </c>
      <c r="D252" s="101" t="s">
        <v>72</v>
      </c>
      <c r="E252" s="101" t="s">
        <v>110</v>
      </c>
      <c r="F252" s="102">
        <v>1</v>
      </c>
      <c r="G252" s="101" t="s">
        <v>66</v>
      </c>
      <c r="H252" s="101" t="s">
        <v>286</v>
      </c>
      <c r="I252" s="102">
        <v>240</v>
      </c>
      <c r="J252" s="97"/>
    </row>
    <row r="253" spans="1:10" ht="94.5" x14ac:dyDescent="0.25">
      <c r="A253" s="45" t="s">
        <v>288</v>
      </c>
      <c r="B253" s="102">
        <v>871</v>
      </c>
      <c r="C253" s="101" t="s">
        <v>84</v>
      </c>
      <c r="D253" s="101" t="s">
        <v>72</v>
      </c>
      <c r="E253" s="101" t="s">
        <v>110</v>
      </c>
      <c r="F253" s="102">
        <v>1</v>
      </c>
      <c r="G253" s="101" t="s">
        <v>120</v>
      </c>
      <c r="H253" s="101" t="s">
        <v>69</v>
      </c>
      <c r="I253" s="102"/>
      <c r="J253" s="97">
        <f>J254</f>
        <v>1428.6799999999998</v>
      </c>
    </row>
    <row r="254" spans="1:10" ht="94.5" x14ac:dyDescent="0.25">
      <c r="A254" s="45" t="s">
        <v>285</v>
      </c>
      <c r="B254" s="102">
        <v>871</v>
      </c>
      <c r="C254" s="101" t="s">
        <v>84</v>
      </c>
      <c r="D254" s="101" t="s">
        <v>72</v>
      </c>
      <c r="E254" s="101" t="s">
        <v>110</v>
      </c>
      <c r="F254" s="102">
        <v>1</v>
      </c>
      <c r="G254" s="101" t="s">
        <v>120</v>
      </c>
      <c r="H254" s="101" t="s">
        <v>121</v>
      </c>
      <c r="I254" s="102"/>
      <c r="J254" s="97">
        <f>J255</f>
        <v>1428.6799999999998</v>
      </c>
    </row>
    <row r="255" spans="1:10" x14ac:dyDescent="0.25">
      <c r="A255" s="49" t="s">
        <v>157</v>
      </c>
      <c r="B255" s="102">
        <v>871</v>
      </c>
      <c r="C255" s="101" t="s">
        <v>84</v>
      </c>
      <c r="D255" s="101" t="s">
        <v>72</v>
      </c>
      <c r="E255" s="101" t="s">
        <v>110</v>
      </c>
      <c r="F255" s="102">
        <v>1</v>
      </c>
      <c r="G255" s="101" t="s">
        <v>120</v>
      </c>
      <c r="H255" s="101" t="s">
        <v>121</v>
      </c>
      <c r="I255" s="102">
        <v>540</v>
      </c>
      <c r="J255" s="97">
        <f>2393.24-964.56</f>
        <v>1428.6799999999998</v>
      </c>
    </row>
    <row r="256" spans="1:10" x14ac:dyDescent="0.25">
      <c r="A256" s="45" t="s">
        <v>157</v>
      </c>
      <c r="B256" s="113" t="s">
        <v>54</v>
      </c>
      <c r="C256" s="113" t="s">
        <v>84</v>
      </c>
      <c r="D256" s="113" t="s">
        <v>72</v>
      </c>
      <c r="E256" s="113" t="s">
        <v>154</v>
      </c>
      <c r="F256" s="113" t="s">
        <v>67</v>
      </c>
      <c r="G256" s="113" t="s">
        <v>68</v>
      </c>
      <c r="H256" s="113" t="s">
        <v>69</v>
      </c>
      <c r="I256" s="114"/>
      <c r="J256" s="97">
        <f>J257</f>
        <v>542500</v>
      </c>
    </row>
    <row r="257" spans="1:10" ht="63" x14ac:dyDescent="0.25">
      <c r="A257" s="45" t="s">
        <v>152</v>
      </c>
      <c r="B257" s="113" t="s">
        <v>54</v>
      </c>
      <c r="C257" s="113" t="s">
        <v>84</v>
      </c>
      <c r="D257" s="113" t="s">
        <v>72</v>
      </c>
      <c r="E257" s="113" t="s">
        <v>154</v>
      </c>
      <c r="F257" s="113" t="s">
        <v>73</v>
      </c>
      <c r="G257" s="113" t="s">
        <v>68</v>
      </c>
      <c r="H257" s="113" t="s">
        <v>69</v>
      </c>
      <c r="I257" s="114"/>
      <c r="J257" s="97">
        <f>J258</f>
        <v>542500</v>
      </c>
    </row>
    <row r="258" spans="1:10" ht="31.5" x14ac:dyDescent="0.25">
      <c r="A258" s="45" t="s">
        <v>422</v>
      </c>
      <c r="B258" s="113" t="s">
        <v>54</v>
      </c>
      <c r="C258" s="113" t="s">
        <v>84</v>
      </c>
      <c r="D258" s="113" t="s">
        <v>72</v>
      </c>
      <c r="E258" s="113">
        <v>97</v>
      </c>
      <c r="F258" s="114">
        <v>2</v>
      </c>
      <c r="G258" s="113" t="s">
        <v>68</v>
      </c>
      <c r="H258" s="114">
        <v>85200</v>
      </c>
      <c r="I258" s="113"/>
      <c r="J258" s="97">
        <f>J259</f>
        <v>542500</v>
      </c>
    </row>
    <row r="259" spans="1:10" x14ac:dyDescent="0.25">
      <c r="A259" s="48" t="s">
        <v>157</v>
      </c>
      <c r="B259" s="113" t="s">
        <v>54</v>
      </c>
      <c r="C259" s="113" t="s">
        <v>84</v>
      </c>
      <c r="D259" s="113" t="s">
        <v>72</v>
      </c>
      <c r="E259" s="113">
        <v>97</v>
      </c>
      <c r="F259" s="114">
        <v>2</v>
      </c>
      <c r="G259" s="113" t="s">
        <v>68</v>
      </c>
      <c r="H259" s="114">
        <v>85200</v>
      </c>
      <c r="I259" s="113" t="s">
        <v>423</v>
      </c>
      <c r="J259" s="97">
        <f>543600-1100</f>
        <v>542500</v>
      </c>
    </row>
    <row r="260" spans="1:10" ht="31.5" x14ac:dyDescent="0.25">
      <c r="A260" s="45" t="s">
        <v>289</v>
      </c>
      <c r="B260" s="102">
        <v>871</v>
      </c>
      <c r="C260" s="101" t="s">
        <v>84</v>
      </c>
      <c r="D260" s="101" t="s">
        <v>84</v>
      </c>
      <c r="E260" s="101" t="s">
        <v>68</v>
      </c>
      <c r="F260" s="102">
        <v>0</v>
      </c>
      <c r="G260" s="101" t="s">
        <v>68</v>
      </c>
      <c r="H260" s="101" t="s">
        <v>69</v>
      </c>
      <c r="I260" s="102"/>
      <c r="J260" s="97">
        <f>J261+J267</f>
        <v>25872096.390000001</v>
      </c>
    </row>
    <row r="261" spans="1:10" ht="47.25" x14ac:dyDescent="0.25">
      <c r="A261" s="44" t="s">
        <v>230</v>
      </c>
      <c r="B261" s="102">
        <v>871</v>
      </c>
      <c r="C261" s="101" t="s">
        <v>84</v>
      </c>
      <c r="D261" s="101" t="s">
        <v>84</v>
      </c>
      <c r="E261" s="101" t="s">
        <v>72</v>
      </c>
      <c r="F261" s="102">
        <v>0</v>
      </c>
      <c r="G261" s="101" t="s">
        <v>68</v>
      </c>
      <c r="H261" s="101" t="s">
        <v>69</v>
      </c>
      <c r="I261" s="102"/>
      <c r="J261" s="97">
        <f>J262</f>
        <v>25209096.390000001</v>
      </c>
    </row>
    <row r="262" spans="1:10" x14ac:dyDescent="0.25">
      <c r="A262" s="45" t="s">
        <v>290</v>
      </c>
      <c r="B262" s="102">
        <v>871</v>
      </c>
      <c r="C262" s="101" t="s">
        <v>84</v>
      </c>
      <c r="D262" s="101" t="s">
        <v>84</v>
      </c>
      <c r="E262" s="101" t="s">
        <v>72</v>
      </c>
      <c r="F262" s="102">
        <v>4</v>
      </c>
      <c r="G262" s="101" t="s">
        <v>68</v>
      </c>
      <c r="H262" s="101" t="s">
        <v>69</v>
      </c>
      <c r="I262" s="102"/>
      <c r="J262" s="97">
        <f>J263</f>
        <v>25209096.390000001</v>
      </c>
    </row>
    <row r="263" spans="1:10" ht="31.5" x14ac:dyDescent="0.25">
      <c r="A263" s="45" t="s">
        <v>291</v>
      </c>
      <c r="B263" s="102">
        <v>871</v>
      </c>
      <c r="C263" s="101" t="s">
        <v>84</v>
      </c>
      <c r="D263" s="101" t="s">
        <v>84</v>
      </c>
      <c r="E263" s="101" t="s">
        <v>72</v>
      </c>
      <c r="F263" s="102">
        <v>4</v>
      </c>
      <c r="G263" s="101" t="s">
        <v>68</v>
      </c>
      <c r="H263" s="101" t="s">
        <v>292</v>
      </c>
      <c r="I263" s="102"/>
      <c r="J263" s="97">
        <f>SUM(J264:J266)</f>
        <v>25209096.390000001</v>
      </c>
    </row>
    <row r="264" spans="1:10" x14ac:dyDescent="0.25">
      <c r="A264" s="44" t="s">
        <v>293</v>
      </c>
      <c r="B264" s="102">
        <v>871</v>
      </c>
      <c r="C264" s="101" t="s">
        <v>84</v>
      </c>
      <c r="D264" s="101" t="s">
        <v>84</v>
      </c>
      <c r="E264" s="101" t="s">
        <v>72</v>
      </c>
      <c r="F264" s="102">
        <v>4</v>
      </c>
      <c r="G264" s="101" t="s">
        <v>68</v>
      </c>
      <c r="H264" s="101" t="s">
        <v>292</v>
      </c>
      <c r="I264" s="102">
        <v>110</v>
      </c>
      <c r="J264" s="97">
        <v>15554155.99</v>
      </c>
    </row>
    <row r="265" spans="1:10" ht="31.5" x14ac:dyDescent="0.25">
      <c r="A265" s="45" t="s">
        <v>75</v>
      </c>
      <c r="B265" s="102">
        <v>871</v>
      </c>
      <c r="C265" s="101" t="s">
        <v>84</v>
      </c>
      <c r="D265" s="101" t="s">
        <v>84</v>
      </c>
      <c r="E265" s="101" t="s">
        <v>72</v>
      </c>
      <c r="F265" s="102">
        <v>4</v>
      </c>
      <c r="G265" s="101" t="s">
        <v>68</v>
      </c>
      <c r="H265" s="101" t="s">
        <v>292</v>
      </c>
      <c r="I265" s="102">
        <v>240</v>
      </c>
      <c r="J265" s="97">
        <f>3907940.4+197000+500000+7000000-2000000</f>
        <v>9604940.4000000004</v>
      </c>
    </row>
    <row r="266" spans="1:10" x14ac:dyDescent="0.25">
      <c r="A266" s="44" t="s">
        <v>77</v>
      </c>
      <c r="B266" s="102">
        <v>871</v>
      </c>
      <c r="C266" s="101" t="s">
        <v>84</v>
      </c>
      <c r="D266" s="101" t="s">
        <v>84</v>
      </c>
      <c r="E266" s="101" t="s">
        <v>72</v>
      </c>
      <c r="F266" s="102">
        <v>4</v>
      </c>
      <c r="G266" s="101" t="s">
        <v>68</v>
      </c>
      <c r="H266" s="101" t="s">
        <v>292</v>
      </c>
      <c r="I266" s="102">
        <v>850</v>
      </c>
      <c r="J266" s="97">
        <v>50000</v>
      </c>
    </row>
    <row r="267" spans="1:10" ht="47.25" x14ac:dyDescent="0.25">
      <c r="A267" s="44" t="s">
        <v>182</v>
      </c>
      <c r="B267" s="102">
        <v>871</v>
      </c>
      <c r="C267" s="101" t="s">
        <v>84</v>
      </c>
      <c r="D267" s="101" t="s">
        <v>84</v>
      </c>
      <c r="E267" s="101" t="s">
        <v>88</v>
      </c>
      <c r="F267" s="102">
        <v>0</v>
      </c>
      <c r="G267" s="101" t="s">
        <v>68</v>
      </c>
      <c r="H267" s="101" t="s">
        <v>69</v>
      </c>
      <c r="I267" s="102"/>
      <c r="J267" s="97">
        <f>J268</f>
        <v>663000</v>
      </c>
    </row>
    <row r="268" spans="1:10" ht="31.5" x14ac:dyDescent="0.25">
      <c r="A268" s="44" t="s">
        <v>294</v>
      </c>
      <c r="B268" s="101" t="s">
        <v>54</v>
      </c>
      <c r="C268" s="101" t="s">
        <v>84</v>
      </c>
      <c r="D268" s="101" t="s">
        <v>84</v>
      </c>
      <c r="E268" s="101" t="s">
        <v>88</v>
      </c>
      <c r="F268" s="102">
        <v>2</v>
      </c>
      <c r="G268" s="101" t="s">
        <v>68</v>
      </c>
      <c r="H268" s="101" t="s">
        <v>69</v>
      </c>
      <c r="I268" s="102"/>
      <c r="J268" s="97">
        <f>J269+J272</f>
        <v>663000</v>
      </c>
    </row>
    <row r="269" spans="1:10" x14ac:dyDescent="0.25">
      <c r="A269" s="44" t="s">
        <v>184</v>
      </c>
      <c r="B269" s="101" t="s">
        <v>54</v>
      </c>
      <c r="C269" s="101" t="s">
        <v>84</v>
      </c>
      <c r="D269" s="101" t="s">
        <v>84</v>
      </c>
      <c r="E269" s="101" t="s">
        <v>88</v>
      </c>
      <c r="F269" s="102">
        <v>2</v>
      </c>
      <c r="G269" s="101" t="s">
        <v>65</v>
      </c>
      <c r="H269" s="101" t="s">
        <v>69</v>
      </c>
      <c r="I269" s="102"/>
      <c r="J269" s="97">
        <f>J270</f>
        <v>150000</v>
      </c>
    </row>
    <row r="270" spans="1:10" ht="47.25" x14ac:dyDescent="0.25">
      <c r="A270" s="45" t="s">
        <v>185</v>
      </c>
      <c r="B270" s="101" t="s">
        <v>54</v>
      </c>
      <c r="C270" s="101" t="s">
        <v>84</v>
      </c>
      <c r="D270" s="101" t="s">
        <v>84</v>
      </c>
      <c r="E270" s="101" t="s">
        <v>88</v>
      </c>
      <c r="F270" s="101" t="s">
        <v>73</v>
      </c>
      <c r="G270" s="101" t="s">
        <v>65</v>
      </c>
      <c r="H270" s="101" t="s">
        <v>186</v>
      </c>
      <c r="I270" s="101"/>
      <c r="J270" s="97">
        <f>J271</f>
        <v>150000</v>
      </c>
    </row>
    <row r="271" spans="1:10" ht="31.5" x14ac:dyDescent="0.25">
      <c r="A271" s="45" t="s">
        <v>75</v>
      </c>
      <c r="B271" s="101" t="s">
        <v>54</v>
      </c>
      <c r="C271" s="101" t="s">
        <v>84</v>
      </c>
      <c r="D271" s="101" t="s">
        <v>84</v>
      </c>
      <c r="E271" s="101" t="s">
        <v>88</v>
      </c>
      <c r="F271" s="101" t="s">
        <v>73</v>
      </c>
      <c r="G271" s="101" t="s">
        <v>65</v>
      </c>
      <c r="H271" s="101" t="s">
        <v>186</v>
      </c>
      <c r="I271" s="101" t="s">
        <v>76</v>
      </c>
      <c r="J271" s="97">
        <v>150000</v>
      </c>
    </row>
    <row r="272" spans="1:10" x14ac:dyDescent="0.25">
      <c r="A272" s="44" t="s">
        <v>295</v>
      </c>
      <c r="B272" s="101" t="s">
        <v>54</v>
      </c>
      <c r="C272" s="101" t="s">
        <v>84</v>
      </c>
      <c r="D272" s="101" t="s">
        <v>84</v>
      </c>
      <c r="E272" s="101" t="s">
        <v>88</v>
      </c>
      <c r="F272" s="102">
        <v>2</v>
      </c>
      <c r="G272" s="101" t="s">
        <v>66</v>
      </c>
      <c r="H272" s="101"/>
      <c r="I272" s="102"/>
      <c r="J272" s="97">
        <f>J273</f>
        <v>513000</v>
      </c>
    </row>
    <row r="273" spans="1:10" ht="47.25" x14ac:dyDescent="0.25">
      <c r="A273" s="45" t="s">
        <v>185</v>
      </c>
      <c r="B273" s="101" t="s">
        <v>54</v>
      </c>
      <c r="C273" s="101" t="s">
        <v>84</v>
      </c>
      <c r="D273" s="101" t="s">
        <v>84</v>
      </c>
      <c r="E273" s="101" t="s">
        <v>88</v>
      </c>
      <c r="F273" s="101" t="s">
        <v>73</v>
      </c>
      <c r="G273" s="101" t="s">
        <v>66</v>
      </c>
      <c r="H273" s="101" t="s">
        <v>186</v>
      </c>
      <c r="I273" s="101"/>
      <c r="J273" s="97">
        <f>J274</f>
        <v>513000</v>
      </c>
    </row>
    <row r="274" spans="1:10" ht="31.5" x14ac:dyDescent="0.25">
      <c r="A274" s="45" t="s">
        <v>75</v>
      </c>
      <c r="B274" s="101" t="s">
        <v>54</v>
      </c>
      <c r="C274" s="101" t="s">
        <v>84</v>
      </c>
      <c r="D274" s="101" t="s">
        <v>84</v>
      </c>
      <c r="E274" s="101" t="s">
        <v>88</v>
      </c>
      <c r="F274" s="101" t="s">
        <v>73</v>
      </c>
      <c r="G274" s="101" t="s">
        <v>66</v>
      </c>
      <c r="H274" s="101" t="s">
        <v>186</v>
      </c>
      <c r="I274" s="101" t="s">
        <v>76</v>
      </c>
      <c r="J274" s="97">
        <v>513000</v>
      </c>
    </row>
    <row r="275" spans="1:10" x14ac:dyDescent="0.25">
      <c r="A275" s="50" t="s">
        <v>122</v>
      </c>
      <c r="B275" s="101" t="s">
        <v>54</v>
      </c>
      <c r="C275" s="101" t="s">
        <v>88</v>
      </c>
      <c r="D275" s="101"/>
      <c r="E275" s="101"/>
      <c r="F275" s="102"/>
      <c r="G275" s="101"/>
      <c r="H275" s="101"/>
      <c r="I275" s="102"/>
      <c r="J275" s="96">
        <f>J276+J280</f>
        <v>3161900</v>
      </c>
    </row>
    <row r="276" spans="1:10" ht="31.5" x14ac:dyDescent="0.25">
      <c r="A276" s="51" t="s">
        <v>123</v>
      </c>
      <c r="B276" s="101" t="s">
        <v>54</v>
      </c>
      <c r="C276" s="101" t="s">
        <v>88</v>
      </c>
      <c r="D276" s="101" t="s">
        <v>84</v>
      </c>
      <c r="E276" s="101"/>
      <c r="F276" s="102"/>
      <c r="G276" s="101"/>
      <c r="H276" s="101"/>
      <c r="I276" s="102"/>
      <c r="J276" s="97">
        <f>J277</f>
        <v>30000</v>
      </c>
    </row>
    <row r="277" spans="1:10" ht="94.5" x14ac:dyDescent="0.25">
      <c r="A277" s="44" t="s">
        <v>296</v>
      </c>
      <c r="B277" s="101" t="s">
        <v>54</v>
      </c>
      <c r="C277" s="101" t="s">
        <v>88</v>
      </c>
      <c r="D277" s="101" t="s">
        <v>84</v>
      </c>
      <c r="E277" s="101" t="s">
        <v>102</v>
      </c>
      <c r="F277" s="102">
        <v>0</v>
      </c>
      <c r="G277" s="101" t="s">
        <v>68</v>
      </c>
      <c r="H277" s="101" t="s">
        <v>69</v>
      </c>
      <c r="I277" s="102"/>
      <c r="J277" s="97">
        <f>J278</f>
        <v>30000</v>
      </c>
    </row>
    <row r="278" spans="1:10" ht="31.5" x14ac:dyDescent="0.25">
      <c r="A278" s="45" t="s">
        <v>297</v>
      </c>
      <c r="B278" s="101" t="s">
        <v>54</v>
      </c>
      <c r="C278" s="101" t="s">
        <v>88</v>
      </c>
      <c r="D278" s="101" t="s">
        <v>84</v>
      </c>
      <c r="E278" s="101" t="s">
        <v>102</v>
      </c>
      <c r="F278" s="102">
        <v>0</v>
      </c>
      <c r="G278" s="101" t="s">
        <v>68</v>
      </c>
      <c r="H278" s="101" t="s">
        <v>298</v>
      </c>
      <c r="I278" s="102"/>
      <c r="J278" s="97">
        <f>J279</f>
        <v>30000</v>
      </c>
    </row>
    <row r="279" spans="1:10" ht="31.5" x14ac:dyDescent="0.25">
      <c r="A279" s="45" t="s">
        <v>75</v>
      </c>
      <c r="B279" s="101" t="s">
        <v>54</v>
      </c>
      <c r="C279" s="101" t="s">
        <v>88</v>
      </c>
      <c r="D279" s="101" t="s">
        <v>84</v>
      </c>
      <c r="E279" s="101" t="s">
        <v>102</v>
      </c>
      <c r="F279" s="102">
        <v>0</v>
      </c>
      <c r="G279" s="101" t="s">
        <v>68</v>
      </c>
      <c r="H279" s="101" t="s">
        <v>298</v>
      </c>
      <c r="I279" s="102">
        <v>240</v>
      </c>
      <c r="J279" s="97">
        <v>30000</v>
      </c>
    </row>
    <row r="280" spans="1:10" x14ac:dyDescent="0.25">
      <c r="A280" s="44" t="s">
        <v>124</v>
      </c>
      <c r="B280" s="101" t="s">
        <v>54</v>
      </c>
      <c r="C280" s="101" t="s">
        <v>88</v>
      </c>
      <c r="D280" s="101" t="s">
        <v>88</v>
      </c>
      <c r="E280" s="101"/>
      <c r="F280" s="102"/>
      <c r="G280" s="101"/>
      <c r="H280" s="101"/>
      <c r="I280" s="102"/>
      <c r="J280" s="96">
        <f>J281</f>
        <v>3131900</v>
      </c>
    </row>
    <row r="281" spans="1:10" ht="47.25" x14ac:dyDescent="0.25">
      <c r="A281" s="45" t="s">
        <v>299</v>
      </c>
      <c r="B281" s="101" t="s">
        <v>54</v>
      </c>
      <c r="C281" s="101" t="s">
        <v>88</v>
      </c>
      <c r="D281" s="101" t="s">
        <v>88</v>
      </c>
      <c r="E281" s="101" t="s">
        <v>86</v>
      </c>
      <c r="F281" s="102">
        <v>0</v>
      </c>
      <c r="G281" s="101" t="s">
        <v>68</v>
      </c>
      <c r="H281" s="101" t="s">
        <v>69</v>
      </c>
      <c r="I281" s="102"/>
      <c r="J281" s="96">
        <f>J282</f>
        <v>3131900</v>
      </c>
    </row>
    <row r="282" spans="1:10" x14ac:dyDescent="0.25">
      <c r="A282" s="44" t="s">
        <v>124</v>
      </c>
      <c r="B282" s="101" t="s">
        <v>54</v>
      </c>
      <c r="C282" s="101" t="s">
        <v>88</v>
      </c>
      <c r="D282" s="101" t="s">
        <v>88</v>
      </c>
      <c r="E282" s="101" t="s">
        <v>86</v>
      </c>
      <c r="F282" s="102">
        <v>1</v>
      </c>
      <c r="G282" s="101" t="s">
        <v>68</v>
      </c>
      <c r="H282" s="101" t="s">
        <v>69</v>
      </c>
      <c r="I282" s="102"/>
      <c r="J282" s="96">
        <f>J283+J285</f>
        <v>3131900</v>
      </c>
    </row>
    <row r="283" spans="1:10" ht="31.5" x14ac:dyDescent="0.25">
      <c r="A283" s="44" t="s">
        <v>300</v>
      </c>
      <c r="B283" s="101" t="s">
        <v>54</v>
      </c>
      <c r="C283" s="101" t="s">
        <v>88</v>
      </c>
      <c r="D283" s="101" t="s">
        <v>88</v>
      </c>
      <c r="E283" s="101" t="s">
        <v>86</v>
      </c>
      <c r="F283" s="102">
        <v>1</v>
      </c>
      <c r="G283" s="101" t="s">
        <v>68</v>
      </c>
      <c r="H283" s="101" t="s">
        <v>301</v>
      </c>
      <c r="I283" s="102"/>
      <c r="J283" s="96">
        <f>J284</f>
        <v>151100</v>
      </c>
    </row>
    <row r="284" spans="1:10" x14ac:dyDescent="0.25">
      <c r="A284" s="44" t="s">
        <v>293</v>
      </c>
      <c r="B284" s="101" t="s">
        <v>54</v>
      </c>
      <c r="C284" s="101" t="s">
        <v>88</v>
      </c>
      <c r="D284" s="101" t="s">
        <v>88</v>
      </c>
      <c r="E284" s="101" t="s">
        <v>86</v>
      </c>
      <c r="F284" s="102">
        <v>1</v>
      </c>
      <c r="G284" s="101" t="s">
        <v>68</v>
      </c>
      <c r="H284" s="101" t="s">
        <v>301</v>
      </c>
      <c r="I284" s="102">
        <v>110</v>
      </c>
      <c r="J284" s="96">
        <f>115210+34794+1096</f>
        <v>151100</v>
      </c>
    </row>
    <row r="285" spans="1:10" ht="31.5" x14ac:dyDescent="0.25">
      <c r="A285" s="44" t="s">
        <v>302</v>
      </c>
      <c r="B285" s="101" t="s">
        <v>54</v>
      </c>
      <c r="C285" s="101" t="s">
        <v>88</v>
      </c>
      <c r="D285" s="101" t="s">
        <v>88</v>
      </c>
      <c r="E285" s="101" t="s">
        <v>86</v>
      </c>
      <c r="F285" s="102">
        <v>1</v>
      </c>
      <c r="G285" s="101" t="s">
        <v>68</v>
      </c>
      <c r="H285" s="101" t="s">
        <v>303</v>
      </c>
      <c r="I285" s="102"/>
      <c r="J285" s="96">
        <f>J286</f>
        <v>2980800</v>
      </c>
    </row>
    <row r="286" spans="1:10" x14ac:dyDescent="0.25">
      <c r="A286" s="45" t="s">
        <v>105</v>
      </c>
      <c r="B286" s="101" t="s">
        <v>54</v>
      </c>
      <c r="C286" s="101" t="s">
        <v>88</v>
      </c>
      <c r="D286" s="101" t="s">
        <v>88</v>
      </c>
      <c r="E286" s="101" t="s">
        <v>86</v>
      </c>
      <c r="F286" s="102">
        <v>1</v>
      </c>
      <c r="G286" s="101" t="s">
        <v>68</v>
      </c>
      <c r="H286" s="101" t="s">
        <v>303</v>
      </c>
      <c r="I286" s="102">
        <v>520</v>
      </c>
      <c r="J286" s="96">
        <f>3103100-122300</f>
        <v>2980800</v>
      </c>
    </row>
    <row r="287" spans="1:10" x14ac:dyDescent="0.25">
      <c r="A287" s="50" t="s">
        <v>304</v>
      </c>
      <c r="B287" s="101" t="s">
        <v>54</v>
      </c>
      <c r="C287" s="101" t="s">
        <v>112</v>
      </c>
      <c r="D287" s="101"/>
      <c r="E287" s="101"/>
      <c r="F287" s="102"/>
      <c r="G287" s="101"/>
      <c r="H287" s="101"/>
      <c r="I287" s="102"/>
      <c r="J287" s="96">
        <f>J288+J318</f>
        <v>27760740.739999998</v>
      </c>
    </row>
    <row r="288" spans="1:10" x14ac:dyDescent="0.25">
      <c r="A288" s="44" t="s">
        <v>125</v>
      </c>
      <c r="B288" s="101" t="s">
        <v>54</v>
      </c>
      <c r="C288" s="101" t="s">
        <v>112</v>
      </c>
      <c r="D288" s="102" t="s">
        <v>65</v>
      </c>
      <c r="E288" s="101" t="s">
        <v>134</v>
      </c>
      <c r="F288" s="102"/>
      <c r="G288" s="101"/>
      <c r="H288" s="101"/>
      <c r="I288" s="102" t="s">
        <v>135</v>
      </c>
      <c r="J288" s="96">
        <f>J312+J289+J300+J308</f>
        <v>26981179.199999999</v>
      </c>
    </row>
    <row r="289" spans="1:10" ht="47.25" x14ac:dyDescent="0.25">
      <c r="A289" s="45" t="s">
        <v>299</v>
      </c>
      <c r="B289" s="101" t="s">
        <v>54</v>
      </c>
      <c r="C289" s="101" t="s">
        <v>112</v>
      </c>
      <c r="D289" s="101" t="s">
        <v>65</v>
      </c>
      <c r="E289" s="101" t="s">
        <v>86</v>
      </c>
      <c r="F289" s="102">
        <v>0</v>
      </c>
      <c r="G289" s="101" t="s">
        <v>68</v>
      </c>
      <c r="H289" s="101" t="s">
        <v>69</v>
      </c>
      <c r="I289" s="102"/>
      <c r="J289" s="96">
        <f>J290+J295</f>
        <v>25412222.550000001</v>
      </c>
    </row>
    <row r="290" spans="1:10" x14ac:dyDescent="0.25">
      <c r="A290" s="45" t="s">
        <v>443</v>
      </c>
      <c r="B290" s="101" t="s">
        <v>54</v>
      </c>
      <c r="C290" s="101" t="s">
        <v>112</v>
      </c>
      <c r="D290" s="101" t="s">
        <v>65</v>
      </c>
      <c r="E290" s="101" t="s">
        <v>86</v>
      </c>
      <c r="F290" s="102">
        <v>2</v>
      </c>
      <c r="G290" s="101" t="s">
        <v>68</v>
      </c>
      <c r="H290" s="101" t="s">
        <v>69</v>
      </c>
      <c r="I290" s="102"/>
      <c r="J290" s="96">
        <f>J291+J293</f>
        <v>8980534.8200000003</v>
      </c>
    </row>
    <row r="291" spans="1:10" ht="31.5" x14ac:dyDescent="0.25">
      <c r="A291" s="45" t="s">
        <v>291</v>
      </c>
      <c r="B291" s="101" t="s">
        <v>54</v>
      </c>
      <c r="C291" s="101" t="s">
        <v>112</v>
      </c>
      <c r="D291" s="101" t="s">
        <v>65</v>
      </c>
      <c r="E291" s="101" t="s">
        <v>86</v>
      </c>
      <c r="F291" s="102">
        <v>2</v>
      </c>
      <c r="G291" s="101" t="s">
        <v>68</v>
      </c>
      <c r="H291" s="101" t="s">
        <v>292</v>
      </c>
      <c r="I291" s="102"/>
      <c r="J291" s="96">
        <f>J292</f>
        <v>8767784.4299999997</v>
      </c>
    </row>
    <row r="292" spans="1:10" x14ac:dyDescent="0.25">
      <c r="A292" s="44" t="s">
        <v>113</v>
      </c>
      <c r="B292" s="101" t="s">
        <v>54</v>
      </c>
      <c r="C292" s="101" t="s">
        <v>112</v>
      </c>
      <c r="D292" s="101" t="s">
        <v>65</v>
      </c>
      <c r="E292" s="101" t="s">
        <v>86</v>
      </c>
      <c r="F292" s="102">
        <v>2</v>
      </c>
      <c r="G292" s="101" t="s">
        <v>68</v>
      </c>
      <c r="H292" s="101" t="s">
        <v>292</v>
      </c>
      <c r="I292" s="102">
        <v>620</v>
      </c>
      <c r="J292" s="96">
        <f>7267784.43+1500000</f>
        <v>8767784.4299999997</v>
      </c>
    </row>
    <row r="293" spans="1:10" ht="31.5" x14ac:dyDescent="0.25">
      <c r="A293" s="45" t="s">
        <v>447</v>
      </c>
      <c r="B293" s="118" t="s">
        <v>54</v>
      </c>
      <c r="C293" s="118" t="s">
        <v>112</v>
      </c>
      <c r="D293" s="118" t="s">
        <v>65</v>
      </c>
      <c r="E293" s="118" t="s">
        <v>86</v>
      </c>
      <c r="F293" s="119">
        <v>2</v>
      </c>
      <c r="G293" s="118" t="s">
        <v>68</v>
      </c>
      <c r="H293" s="122" t="s">
        <v>446</v>
      </c>
      <c r="I293" s="119"/>
      <c r="J293" s="96">
        <f>J294</f>
        <v>212750.39</v>
      </c>
    </row>
    <row r="294" spans="1:10" x14ac:dyDescent="0.25">
      <c r="A294" s="44" t="s">
        <v>113</v>
      </c>
      <c r="B294" s="118" t="s">
        <v>54</v>
      </c>
      <c r="C294" s="118" t="s">
        <v>112</v>
      </c>
      <c r="D294" s="118" t="s">
        <v>65</v>
      </c>
      <c r="E294" s="118" t="s">
        <v>86</v>
      </c>
      <c r="F294" s="119">
        <v>2</v>
      </c>
      <c r="G294" s="118" t="s">
        <v>68</v>
      </c>
      <c r="H294" s="122" t="s">
        <v>446</v>
      </c>
      <c r="I294" s="102">
        <v>620</v>
      </c>
      <c r="J294" s="96">
        <v>212750.39</v>
      </c>
    </row>
    <row r="295" spans="1:10" x14ac:dyDescent="0.25">
      <c r="A295" s="45" t="s">
        <v>305</v>
      </c>
      <c r="B295" s="101" t="s">
        <v>54</v>
      </c>
      <c r="C295" s="101" t="s">
        <v>112</v>
      </c>
      <c r="D295" s="101" t="s">
        <v>65</v>
      </c>
      <c r="E295" s="101" t="s">
        <v>86</v>
      </c>
      <c r="F295" s="102">
        <v>5</v>
      </c>
      <c r="G295" s="101" t="s">
        <v>68</v>
      </c>
      <c r="H295" s="101" t="s">
        <v>69</v>
      </c>
      <c r="I295" s="102"/>
      <c r="J295" s="96">
        <f>J296+J298</f>
        <v>16431687.73</v>
      </c>
    </row>
    <row r="296" spans="1:10" ht="31.5" x14ac:dyDescent="0.25">
      <c r="A296" s="45" t="s">
        <v>291</v>
      </c>
      <c r="B296" s="101" t="s">
        <v>54</v>
      </c>
      <c r="C296" s="101" t="s">
        <v>112</v>
      </c>
      <c r="D296" s="101" t="s">
        <v>65</v>
      </c>
      <c r="E296" s="101" t="s">
        <v>86</v>
      </c>
      <c r="F296" s="102">
        <v>5</v>
      </c>
      <c r="G296" s="101" t="s">
        <v>68</v>
      </c>
      <c r="H296" s="101" t="s">
        <v>292</v>
      </c>
      <c r="I296" s="102"/>
      <c r="J296" s="96">
        <f>J297</f>
        <v>16431687.73</v>
      </c>
    </row>
    <row r="297" spans="1:10" x14ac:dyDescent="0.25">
      <c r="A297" s="44" t="s">
        <v>113</v>
      </c>
      <c r="B297" s="101" t="s">
        <v>54</v>
      </c>
      <c r="C297" s="101" t="s">
        <v>112</v>
      </c>
      <c r="D297" s="101" t="s">
        <v>65</v>
      </c>
      <c r="E297" s="101" t="s">
        <v>86</v>
      </c>
      <c r="F297" s="102">
        <v>5</v>
      </c>
      <c r="G297" s="101" t="s">
        <v>68</v>
      </c>
      <c r="H297" s="101" t="s">
        <v>292</v>
      </c>
      <c r="I297" s="102">
        <v>620</v>
      </c>
      <c r="J297" s="96">
        <f>14431687.73+2000000</f>
        <v>16431687.73</v>
      </c>
    </row>
    <row r="298" spans="1:10" ht="78.75" hidden="1" x14ac:dyDescent="0.25">
      <c r="A298" s="44" t="s">
        <v>427</v>
      </c>
      <c r="B298" s="101" t="s">
        <v>54</v>
      </c>
      <c r="C298" s="101" t="s">
        <v>112</v>
      </c>
      <c r="D298" s="101" t="s">
        <v>65</v>
      </c>
      <c r="E298" s="101" t="s">
        <v>86</v>
      </c>
      <c r="F298" s="102">
        <v>5</v>
      </c>
      <c r="G298" s="101" t="s">
        <v>68</v>
      </c>
      <c r="H298" s="101" t="s">
        <v>306</v>
      </c>
      <c r="I298" s="102"/>
      <c r="J298" s="96">
        <f>J299</f>
        <v>0</v>
      </c>
    </row>
    <row r="299" spans="1:10" hidden="1" x14ac:dyDescent="0.25">
      <c r="A299" s="44" t="s">
        <v>113</v>
      </c>
      <c r="B299" s="101" t="s">
        <v>54</v>
      </c>
      <c r="C299" s="101" t="s">
        <v>112</v>
      </c>
      <c r="D299" s="101" t="s">
        <v>65</v>
      </c>
      <c r="E299" s="101" t="s">
        <v>86</v>
      </c>
      <c r="F299" s="102">
        <v>5</v>
      </c>
      <c r="G299" s="101" t="s">
        <v>68</v>
      </c>
      <c r="H299" s="101" t="s">
        <v>306</v>
      </c>
      <c r="I299" s="102">
        <v>620</v>
      </c>
      <c r="J299" s="96">
        <v>0</v>
      </c>
    </row>
    <row r="300" spans="1:10" ht="47.25" hidden="1" x14ac:dyDescent="0.25">
      <c r="A300" s="44" t="s">
        <v>182</v>
      </c>
      <c r="B300" s="101" t="s">
        <v>54</v>
      </c>
      <c r="C300" s="101" t="s">
        <v>112</v>
      </c>
      <c r="D300" s="101" t="s">
        <v>65</v>
      </c>
      <c r="E300" s="101" t="s">
        <v>88</v>
      </c>
      <c r="F300" s="102">
        <v>0</v>
      </c>
      <c r="G300" s="101" t="s">
        <v>68</v>
      </c>
      <c r="H300" s="101" t="s">
        <v>69</v>
      </c>
      <c r="I300" s="102"/>
      <c r="J300" s="97">
        <f>J301</f>
        <v>0</v>
      </c>
    </row>
    <row r="301" spans="1:10" ht="31.5" hidden="1" x14ac:dyDescent="0.25">
      <c r="A301" s="44" t="s">
        <v>307</v>
      </c>
      <c r="B301" s="101" t="s">
        <v>54</v>
      </c>
      <c r="C301" s="101" t="s">
        <v>112</v>
      </c>
      <c r="D301" s="101" t="s">
        <v>65</v>
      </c>
      <c r="E301" s="101" t="s">
        <v>88</v>
      </c>
      <c r="F301" s="102">
        <v>3</v>
      </c>
      <c r="G301" s="101" t="s">
        <v>68</v>
      </c>
      <c r="H301" s="101" t="s">
        <v>69</v>
      </c>
      <c r="I301" s="102"/>
      <c r="J301" s="97">
        <f>J303+J305</f>
        <v>0</v>
      </c>
    </row>
    <row r="302" spans="1:10" hidden="1" x14ac:dyDescent="0.25">
      <c r="A302" s="44" t="s">
        <v>184</v>
      </c>
      <c r="B302" s="101" t="s">
        <v>54</v>
      </c>
      <c r="C302" s="101" t="s">
        <v>112</v>
      </c>
      <c r="D302" s="101" t="s">
        <v>65</v>
      </c>
      <c r="E302" s="101" t="s">
        <v>88</v>
      </c>
      <c r="F302" s="102">
        <v>3</v>
      </c>
      <c r="G302" s="101" t="s">
        <v>65</v>
      </c>
      <c r="H302" s="101" t="s">
        <v>69</v>
      </c>
      <c r="I302" s="102"/>
      <c r="J302" s="97">
        <f>J303</f>
        <v>0</v>
      </c>
    </row>
    <row r="303" spans="1:10" ht="47.25" hidden="1" x14ac:dyDescent="0.25">
      <c r="A303" s="45" t="s">
        <v>185</v>
      </c>
      <c r="B303" s="101" t="s">
        <v>54</v>
      </c>
      <c r="C303" s="101" t="s">
        <v>112</v>
      </c>
      <c r="D303" s="101" t="s">
        <v>65</v>
      </c>
      <c r="E303" s="101" t="s">
        <v>88</v>
      </c>
      <c r="F303" s="101" t="s">
        <v>74</v>
      </c>
      <c r="G303" s="101" t="s">
        <v>65</v>
      </c>
      <c r="H303" s="101" t="s">
        <v>186</v>
      </c>
      <c r="I303" s="101"/>
      <c r="J303" s="97">
        <f>J304</f>
        <v>0</v>
      </c>
    </row>
    <row r="304" spans="1:10" ht="31.5" hidden="1" x14ac:dyDescent="0.25">
      <c r="A304" s="45" t="s">
        <v>75</v>
      </c>
      <c r="B304" s="101" t="s">
        <v>54</v>
      </c>
      <c r="C304" s="101" t="s">
        <v>112</v>
      </c>
      <c r="D304" s="101" t="s">
        <v>65</v>
      </c>
      <c r="E304" s="101" t="s">
        <v>88</v>
      </c>
      <c r="F304" s="101" t="s">
        <v>74</v>
      </c>
      <c r="G304" s="101" t="s">
        <v>65</v>
      </c>
      <c r="H304" s="101" t="s">
        <v>186</v>
      </c>
      <c r="I304" s="101" t="s">
        <v>76</v>
      </c>
      <c r="J304" s="97">
        <v>0</v>
      </c>
    </row>
    <row r="305" spans="1:10" ht="47.25" hidden="1" x14ac:dyDescent="0.25">
      <c r="A305" s="44" t="s">
        <v>429</v>
      </c>
      <c r="B305" s="101" t="s">
        <v>54</v>
      </c>
      <c r="C305" s="101" t="s">
        <v>112</v>
      </c>
      <c r="D305" s="101" t="s">
        <v>65</v>
      </c>
      <c r="E305" s="101" t="s">
        <v>88</v>
      </c>
      <c r="F305" s="102">
        <v>3</v>
      </c>
      <c r="G305" s="101" t="s">
        <v>66</v>
      </c>
      <c r="H305" s="101" t="s">
        <v>69</v>
      </c>
      <c r="I305" s="102"/>
      <c r="J305" s="97">
        <f>J306</f>
        <v>0</v>
      </c>
    </row>
    <row r="306" spans="1:10" ht="47.25" hidden="1" x14ac:dyDescent="0.25">
      <c r="A306" s="45" t="s">
        <v>185</v>
      </c>
      <c r="B306" s="101" t="s">
        <v>54</v>
      </c>
      <c r="C306" s="101" t="s">
        <v>112</v>
      </c>
      <c r="D306" s="101" t="s">
        <v>65</v>
      </c>
      <c r="E306" s="101" t="s">
        <v>88</v>
      </c>
      <c r="F306" s="101" t="s">
        <v>74</v>
      </c>
      <c r="G306" s="101" t="s">
        <v>66</v>
      </c>
      <c r="H306" s="101" t="s">
        <v>186</v>
      </c>
      <c r="I306" s="101"/>
      <c r="J306" s="97">
        <f>J307</f>
        <v>0</v>
      </c>
    </row>
    <row r="307" spans="1:10" ht="31.5" hidden="1" x14ac:dyDescent="0.25">
      <c r="A307" s="45" t="s">
        <v>75</v>
      </c>
      <c r="B307" s="101" t="s">
        <v>54</v>
      </c>
      <c r="C307" s="101" t="s">
        <v>112</v>
      </c>
      <c r="D307" s="101" t="s">
        <v>65</v>
      </c>
      <c r="E307" s="101" t="s">
        <v>88</v>
      </c>
      <c r="F307" s="101" t="s">
        <v>74</v>
      </c>
      <c r="G307" s="101" t="s">
        <v>66</v>
      </c>
      <c r="H307" s="101" t="s">
        <v>186</v>
      </c>
      <c r="I307" s="101" t="s">
        <v>76</v>
      </c>
      <c r="J307" s="97">
        <v>0</v>
      </c>
    </row>
    <row r="308" spans="1:10" ht="63" hidden="1" x14ac:dyDescent="0.25">
      <c r="A308" s="44" t="s">
        <v>194</v>
      </c>
      <c r="B308" s="101" t="s">
        <v>54</v>
      </c>
      <c r="C308" s="101" t="s">
        <v>112</v>
      </c>
      <c r="D308" s="101" t="s">
        <v>65</v>
      </c>
      <c r="E308" s="101" t="s">
        <v>90</v>
      </c>
      <c r="F308" s="102">
        <v>0</v>
      </c>
      <c r="G308" s="101" t="s">
        <v>68</v>
      </c>
      <c r="H308" s="101" t="s">
        <v>69</v>
      </c>
      <c r="I308" s="102"/>
      <c r="J308" s="97">
        <f>J309</f>
        <v>0</v>
      </c>
    </row>
    <row r="309" spans="1:10" hidden="1" x14ac:dyDescent="0.25">
      <c r="A309" s="45" t="s">
        <v>195</v>
      </c>
      <c r="B309" s="101" t="s">
        <v>54</v>
      </c>
      <c r="C309" s="101" t="s">
        <v>112</v>
      </c>
      <c r="D309" s="101" t="s">
        <v>65</v>
      </c>
      <c r="E309" s="101" t="s">
        <v>90</v>
      </c>
      <c r="F309" s="101" t="s">
        <v>67</v>
      </c>
      <c r="G309" s="101" t="s">
        <v>65</v>
      </c>
      <c r="H309" s="101" t="s">
        <v>69</v>
      </c>
      <c r="I309" s="101"/>
      <c r="J309" s="97">
        <f>J310</f>
        <v>0</v>
      </c>
    </row>
    <row r="310" spans="1:10" ht="31.5" hidden="1" x14ac:dyDescent="0.25">
      <c r="A310" s="45" t="s">
        <v>196</v>
      </c>
      <c r="B310" s="101" t="s">
        <v>54</v>
      </c>
      <c r="C310" s="101" t="s">
        <v>112</v>
      </c>
      <c r="D310" s="101" t="s">
        <v>65</v>
      </c>
      <c r="E310" s="101" t="s">
        <v>90</v>
      </c>
      <c r="F310" s="101" t="s">
        <v>67</v>
      </c>
      <c r="G310" s="101" t="s">
        <v>65</v>
      </c>
      <c r="H310" s="101" t="s">
        <v>197</v>
      </c>
      <c r="I310" s="101"/>
      <c r="J310" s="97">
        <f>J311</f>
        <v>0</v>
      </c>
    </row>
    <row r="311" spans="1:10" ht="31.5" hidden="1" x14ac:dyDescent="0.25">
      <c r="A311" s="45" t="s">
        <v>75</v>
      </c>
      <c r="B311" s="101" t="s">
        <v>54</v>
      </c>
      <c r="C311" s="101" t="s">
        <v>112</v>
      </c>
      <c r="D311" s="101" t="s">
        <v>65</v>
      </c>
      <c r="E311" s="101" t="s">
        <v>90</v>
      </c>
      <c r="F311" s="101" t="s">
        <v>67</v>
      </c>
      <c r="G311" s="101" t="s">
        <v>65</v>
      </c>
      <c r="H311" s="101" t="s">
        <v>197</v>
      </c>
      <c r="I311" s="101" t="s">
        <v>76</v>
      </c>
      <c r="J311" s="97"/>
    </row>
    <row r="312" spans="1:10" x14ac:dyDescent="0.25">
      <c r="A312" s="45" t="s">
        <v>80</v>
      </c>
      <c r="B312" s="101" t="s">
        <v>54</v>
      </c>
      <c r="C312" s="101" t="s">
        <v>112</v>
      </c>
      <c r="D312" s="101" t="s">
        <v>65</v>
      </c>
      <c r="E312" s="101" t="s">
        <v>81</v>
      </c>
      <c r="F312" s="102">
        <v>0</v>
      </c>
      <c r="G312" s="101" t="s">
        <v>67</v>
      </c>
      <c r="H312" s="101" t="s">
        <v>69</v>
      </c>
      <c r="I312" s="102"/>
      <c r="J312" s="96">
        <f>J313</f>
        <v>1568956.65</v>
      </c>
    </row>
    <row r="313" spans="1:10" x14ac:dyDescent="0.25">
      <c r="A313" s="45" t="s">
        <v>207</v>
      </c>
      <c r="B313" s="101" t="s">
        <v>54</v>
      </c>
      <c r="C313" s="101" t="s">
        <v>112</v>
      </c>
      <c r="D313" s="101" t="s">
        <v>65</v>
      </c>
      <c r="E313" s="101" t="s">
        <v>81</v>
      </c>
      <c r="F313" s="102">
        <v>9</v>
      </c>
      <c r="G313" s="101" t="s">
        <v>67</v>
      </c>
      <c r="H313" s="101" t="s">
        <v>69</v>
      </c>
      <c r="I313" s="102"/>
      <c r="J313" s="96">
        <f>J314+J316</f>
        <v>1568956.65</v>
      </c>
    </row>
    <row r="314" spans="1:10" ht="78.75" x14ac:dyDescent="0.25">
      <c r="A314" s="45" t="s">
        <v>308</v>
      </c>
      <c r="B314" s="101" t="s">
        <v>54</v>
      </c>
      <c r="C314" s="101" t="s">
        <v>112</v>
      </c>
      <c r="D314" s="101" t="s">
        <v>65</v>
      </c>
      <c r="E314" s="101" t="s">
        <v>81</v>
      </c>
      <c r="F314" s="102">
        <v>9</v>
      </c>
      <c r="G314" s="101" t="s">
        <v>68</v>
      </c>
      <c r="H314" s="101" t="s">
        <v>126</v>
      </c>
      <c r="I314" s="102"/>
      <c r="J314" s="96">
        <f>J315</f>
        <v>52918.98</v>
      </c>
    </row>
    <row r="315" spans="1:10" x14ac:dyDescent="0.25">
      <c r="A315" s="44" t="s">
        <v>113</v>
      </c>
      <c r="B315" s="101" t="s">
        <v>54</v>
      </c>
      <c r="C315" s="101" t="s">
        <v>112</v>
      </c>
      <c r="D315" s="101" t="s">
        <v>65</v>
      </c>
      <c r="E315" s="101" t="s">
        <v>81</v>
      </c>
      <c r="F315" s="102">
        <v>9</v>
      </c>
      <c r="G315" s="101" t="s">
        <v>68</v>
      </c>
      <c r="H315" s="101" t="s">
        <v>126</v>
      </c>
      <c r="I315" s="102">
        <v>620</v>
      </c>
      <c r="J315" s="96">
        <v>52918.98</v>
      </c>
    </row>
    <row r="316" spans="1:10" ht="31.5" x14ac:dyDescent="0.25">
      <c r="A316" s="45" t="s">
        <v>395</v>
      </c>
      <c r="B316" s="101" t="s">
        <v>54</v>
      </c>
      <c r="C316" s="101" t="s">
        <v>112</v>
      </c>
      <c r="D316" s="101" t="s">
        <v>65</v>
      </c>
      <c r="E316" s="101" t="s">
        <v>81</v>
      </c>
      <c r="F316" s="102">
        <v>9</v>
      </c>
      <c r="G316" s="101" t="s">
        <v>68</v>
      </c>
      <c r="H316" s="101" t="s">
        <v>394</v>
      </c>
      <c r="I316" s="102"/>
      <c r="J316" s="96">
        <f>SUM(J317:J317)</f>
        <v>1516037.67</v>
      </c>
    </row>
    <row r="317" spans="1:10" x14ac:dyDescent="0.25">
      <c r="A317" s="44" t="s">
        <v>113</v>
      </c>
      <c r="B317" s="101" t="s">
        <v>54</v>
      </c>
      <c r="C317" s="101" t="s">
        <v>112</v>
      </c>
      <c r="D317" s="101" t="s">
        <v>65</v>
      </c>
      <c r="E317" s="101" t="s">
        <v>81</v>
      </c>
      <c r="F317" s="102">
        <v>9</v>
      </c>
      <c r="G317" s="101" t="s">
        <v>68</v>
      </c>
      <c r="H317" s="101" t="s">
        <v>394</v>
      </c>
      <c r="I317" s="102">
        <v>620</v>
      </c>
      <c r="J317" s="96">
        <v>1516037.67</v>
      </c>
    </row>
    <row r="318" spans="1:10" x14ac:dyDescent="0.25">
      <c r="A318" s="44" t="s">
        <v>127</v>
      </c>
      <c r="B318" s="101" t="s">
        <v>54</v>
      </c>
      <c r="C318" s="101" t="s">
        <v>112</v>
      </c>
      <c r="D318" s="101" t="s">
        <v>83</v>
      </c>
      <c r="E318" s="101"/>
      <c r="F318" s="102"/>
      <c r="G318" s="101"/>
      <c r="H318" s="101"/>
      <c r="I318" s="102"/>
      <c r="J318" s="97">
        <f>J319</f>
        <v>779561.54</v>
      </c>
    </row>
    <row r="319" spans="1:10" ht="47.25" x14ac:dyDescent="0.25">
      <c r="A319" s="45" t="s">
        <v>299</v>
      </c>
      <c r="B319" s="101" t="s">
        <v>54</v>
      </c>
      <c r="C319" s="101" t="s">
        <v>112</v>
      </c>
      <c r="D319" s="101" t="s">
        <v>83</v>
      </c>
      <c r="E319" s="101" t="s">
        <v>86</v>
      </c>
      <c r="F319" s="102">
        <v>0</v>
      </c>
      <c r="G319" s="101" t="s">
        <v>68</v>
      </c>
      <c r="H319" s="101" t="s">
        <v>69</v>
      </c>
      <c r="I319" s="102"/>
      <c r="J319" s="97">
        <f>J320</f>
        <v>779561.54</v>
      </c>
    </row>
    <row r="320" spans="1:10" x14ac:dyDescent="0.25">
      <c r="A320" s="45" t="s">
        <v>309</v>
      </c>
      <c r="B320" s="101" t="s">
        <v>54</v>
      </c>
      <c r="C320" s="101" t="s">
        <v>112</v>
      </c>
      <c r="D320" s="101" t="s">
        <v>83</v>
      </c>
      <c r="E320" s="101" t="s">
        <v>86</v>
      </c>
      <c r="F320" s="102">
        <v>3</v>
      </c>
      <c r="G320" s="101" t="s">
        <v>68</v>
      </c>
      <c r="H320" s="101" t="s">
        <v>69</v>
      </c>
      <c r="I320" s="102"/>
      <c r="J320" s="97">
        <f>J321+J323+J325</f>
        <v>779561.54</v>
      </c>
    </row>
    <row r="321" spans="1:10" x14ac:dyDescent="0.25">
      <c r="A321" s="45" t="s">
        <v>310</v>
      </c>
      <c r="B321" s="101" t="s">
        <v>54</v>
      </c>
      <c r="C321" s="101" t="s">
        <v>112</v>
      </c>
      <c r="D321" s="101" t="s">
        <v>83</v>
      </c>
      <c r="E321" s="101" t="s">
        <v>86</v>
      </c>
      <c r="F321" s="102">
        <v>3</v>
      </c>
      <c r="G321" s="101" t="s">
        <v>68</v>
      </c>
      <c r="H321" s="101" t="s">
        <v>311</v>
      </c>
      <c r="I321" s="102"/>
      <c r="J321" s="97">
        <f>J322</f>
        <v>100000</v>
      </c>
    </row>
    <row r="322" spans="1:10" x14ac:dyDescent="0.25">
      <c r="A322" s="45" t="s">
        <v>91</v>
      </c>
      <c r="B322" s="101" t="s">
        <v>54</v>
      </c>
      <c r="C322" s="101" t="s">
        <v>112</v>
      </c>
      <c r="D322" s="101" t="s">
        <v>83</v>
      </c>
      <c r="E322" s="101" t="s">
        <v>86</v>
      </c>
      <c r="F322" s="102">
        <v>3</v>
      </c>
      <c r="G322" s="101" t="s">
        <v>68</v>
      </c>
      <c r="H322" s="101" t="s">
        <v>311</v>
      </c>
      <c r="I322" s="102">
        <v>350</v>
      </c>
      <c r="J322" s="97">
        <v>100000</v>
      </c>
    </row>
    <row r="323" spans="1:10" x14ac:dyDescent="0.25">
      <c r="A323" s="45" t="s">
        <v>312</v>
      </c>
      <c r="B323" s="101" t="s">
        <v>54</v>
      </c>
      <c r="C323" s="101" t="s">
        <v>112</v>
      </c>
      <c r="D323" s="101" t="s">
        <v>83</v>
      </c>
      <c r="E323" s="101" t="s">
        <v>86</v>
      </c>
      <c r="F323" s="102">
        <v>3</v>
      </c>
      <c r="G323" s="101" t="s">
        <v>68</v>
      </c>
      <c r="H323" s="101" t="s">
        <v>313</v>
      </c>
      <c r="I323" s="102"/>
      <c r="J323" s="97">
        <f>J324</f>
        <v>288657.53999999998</v>
      </c>
    </row>
    <row r="324" spans="1:10" ht="31.5" x14ac:dyDescent="0.25">
      <c r="A324" s="45" t="s">
        <v>75</v>
      </c>
      <c r="B324" s="101" t="s">
        <v>54</v>
      </c>
      <c r="C324" s="101" t="s">
        <v>112</v>
      </c>
      <c r="D324" s="101" t="s">
        <v>83</v>
      </c>
      <c r="E324" s="101" t="s">
        <v>86</v>
      </c>
      <c r="F324" s="102">
        <v>3</v>
      </c>
      <c r="G324" s="101" t="s">
        <v>68</v>
      </c>
      <c r="H324" s="101" t="s">
        <v>313</v>
      </c>
      <c r="I324" s="102">
        <v>240</v>
      </c>
      <c r="J324" s="97">
        <f>410000-121342.46</f>
        <v>288657.53999999998</v>
      </c>
    </row>
    <row r="325" spans="1:10" x14ac:dyDescent="0.25">
      <c r="A325" s="45" t="s">
        <v>314</v>
      </c>
      <c r="B325" s="101" t="s">
        <v>54</v>
      </c>
      <c r="C325" s="101" t="s">
        <v>112</v>
      </c>
      <c r="D325" s="101" t="s">
        <v>83</v>
      </c>
      <c r="E325" s="101" t="s">
        <v>86</v>
      </c>
      <c r="F325" s="102">
        <v>3</v>
      </c>
      <c r="G325" s="101" t="s">
        <v>68</v>
      </c>
      <c r="H325" s="101" t="s">
        <v>315</v>
      </c>
      <c r="I325" s="102"/>
      <c r="J325" s="97">
        <f>J326</f>
        <v>390904</v>
      </c>
    </row>
    <row r="326" spans="1:10" ht="31.5" x14ac:dyDescent="0.25">
      <c r="A326" s="45" t="s">
        <v>75</v>
      </c>
      <c r="B326" s="101" t="s">
        <v>54</v>
      </c>
      <c r="C326" s="101" t="s">
        <v>112</v>
      </c>
      <c r="D326" s="101" t="s">
        <v>83</v>
      </c>
      <c r="E326" s="101" t="s">
        <v>86</v>
      </c>
      <c r="F326" s="102">
        <v>3</v>
      </c>
      <c r="G326" s="101" t="s">
        <v>68</v>
      </c>
      <c r="H326" s="101" t="s">
        <v>315</v>
      </c>
      <c r="I326" s="102">
        <v>240</v>
      </c>
      <c r="J326" s="97">
        <f>562000-170000-1096</f>
        <v>390904</v>
      </c>
    </row>
    <row r="327" spans="1:10" x14ac:dyDescent="0.25">
      <c r="A327" s="50" t="s">
        <v>128</v>
      </c>
      <c r="B327" s="101" t="s">
        <v>54</v>
      </c>
      <c r="C327" s="101">
        <v>10</v>
      </c>
      <c r="D327" s="101"/>
      <c r="E327" s="101"/>
      <c r="F327" s="102"/>
      <c r="G327" s="101"/>
      <c r="H327" s="101"/>
      <c r="I327" s="102"/>
      <c r="J327" s="97">
        <f>J328</f>
        <v>783240</v>
      </c>
    </row>
    <row r="328" spans="1:10" x14ac:dyDescent="0.25">
      <c r="A328" s="44" t="s">
        <v>129</v>
      </c>
      <c r="B328" s="101" t="s">
        <v>54</v>
      </c>
      <c r="C328" s="101" t="s">
        <v>90</v>
      </c>
      <c r="D328" s="101" t="s">
        <v>72</v>
      </c>
      <c r="E328" s="101"/>
      <c r="F328" s="101"/>
      <c r="G328" s="101"/>
      <c r="H328" s="101"/>
      <c r="I328" s="102"/>
      <c r="J328" s="97">
        <f>J329+J333</f>
        <v>783240</v>
      </c>
    </row>
    <row r="329" spans="1:10" ht="31.5" x14ac:dyDescent="0.25">
      <c r="A329" s="45" t="s">
        <v>316</v>
      </c>
      <c r="B329" s="101" t="s">
        <v>54</v>
      </c>
      <c r="C329" s="101" t="s">
        <v>90</v>
      </c>
      <c r="D329" s="101" t="s">
        <v>72</v>
      </c>
      <c r="E329" s="101" t="s">
        <v>317</v>
      </c>
      <c r="F329" s="102">
        <v>0</v>
      </c>
      <c r="G329" s="101" t="s">
        <v>68</v>
      </c>
      <c r="H329" s="101" t="s">
        <v>69</v>
      </c>
      <c r="I329" s="102"/>
      <c r="J329" s="97">
        <f>J330</f>
        <v>708240</v>
      </c>
    </row>
    <row r="330" spans="1:10" x14ac:dyDescent="0.25">
      <c r="A330" s="45" t="s">
        <v>318</v>
      </c>
      <c r="B330" s="101" t="s">
        <v>54</v>
      </c>
      <c r="C330" s="101" t="s">
        <v>90</v>
      </c>
      <c r="D330" s="101" t="s">
        <v>72</v>
      </c>
      <c r="E330" s="101" t="s">
        <v>317</v>
      </c>
      <c r="F330" s="102">
        <v>3</v>
      </c>
      <c r="G330" s="101" t="s">
        <v>68</v>
      </c>
      <c r="H330" s="101" t="s">
        <v>69</v>
      </c>
      <c r="I330" s="102"/>
      <c r="J330" s="97">
        <f>J331</f>
        <v>708240</v>
      </c>
    </row>
    <row r="331" spans="1:10" ht="31.5" x14ac:dyDescent="0.25">
      <c r="A331" s="45" t="s">
        <v>319</v>
      </c>
      <c r="B331" s="101" t="s">
        <v>54</v>
      </c>
      <c r="C331" s="101" t="s">
        <v>90</v>
      </c>
      <c r="D331" s="101" t="s">
        <v>72</v>
      </c>
      <c r="E331" s="101" t="s">
        <v>317</v>
      </c>
      <c r="F331" s="102">
        <v>3</v>
      </c>
      <c r="G331" s="101" t="s">
        <v>68</v>
      </c>
      <c r="H331" s="101" t="s">
        <v>320</v>
      </c>
      <c r="I331" s="102"/>
      <c r="J331" s="97">
        <f>J332</f>
        <v>708240</v>
      </c>
    </row>
    <row r="332" spans="1:10" ht="47.25" x14ac:dyDescent="0.25">
      <c r="A332" s="45" t="s">
        <v>248</v>
      </c>
      <c r="B332" s="101" t="s">
        <v>54</v>
      </c>
      <c r="C332" s="101" t="s">
        <v>90</v>
      </c>
      <c r="D332" s="101" t="s">
        <v>72</v>
      </c>
      <c r="E332" s="101" t="s">
        <v>317</v>
      </c>
      <c r="F332" s="102">
        <v>3</v>
      </c>
      <c r="G332" s="101" t="s">
        <v>68</v>
      </c>
      <c r="H332" s="101" t="s">
        <v>320</v>
      </c>
      <c r="I332" s="102">
        <v>810</v>
      </c>
      <c r="J332" s="97">
        <f>723240-15000</f>
        <v>708240</v>
      </c>
    </row>
    <row r="333" spans="1:10" x14ac:dyDescent="0.25">
      <c r="A333" s="45" t="s">
        <v>80</v>
      </c>
      <c r="B333" s="101" t="s">
        <v>54</v>
      </c>
      <c r="C333" s="101" t="s">
        <v>90</v>
      </c>
      <c r="D333" s="101" t="s">
        <v>72</v>
      </c>
      <c r="E333" s="101" t="s">
        <v>81</v>
      </c>
      <c r="F333" s="102">
        <v>0</v>
      </c>
      <c r="G333" s="101" t="s">
        <v>68</v>
      </c>
      <c r="H333" s="101" t="s">
        <v>69</v>
      </c>
      <c r="I333" s="102"/>
      <c r="J333" s="97">
        <f>J334</f>
        <v>75000</v>
      </c>
    </row>
    <row r="334" spans="1:10" x14ac:dyDescent="0.25">
      <c r="A334" s="45" t="s">
        <v>207</v>
      </c>
      <c r="B334" s="101" t="s">
        <v>54</v>
      </c>
      <c r="C334" s="101" t="s">
        <v>90</v>
      </c>
      <c r="D334" s="101" t="s">
        <v>72</v>
      </c>
      <c r="E334" s="101" t="s">
        <v>81</v>
      </c>
      <c r="F334" s="102">
        <v>9</v>
      </c>
      <c r="G334" s="101" t="s">
        <v>68</v>
      </c>
      <c r="H334" s="101" t="s">
        <v>69</v>
      </c>
      <c r="I334" s="102"/>
      <c r="J334" s="97">
        <f>J335</f>
        <v>75000</v>
      </c>
    </row>
    <row r="335" spans="1:10" x14ac:dyDescent="0.25">
      <c r="A335" s="45" t="s">
        <v>321</v>
      </c>
      <c r="B335" s="101" t="s">
        <v>54</v>
      </c>
      <c r="C335" s="101" t="s">
        <v>90</v>
      </c>
      <c r="D335" s="101" t="s">
        <v>72</v>
      </c>
      <c r="E335" s="101" t="s">
        <v>81</v>
      </c>
      <c r="F335" s="102">
        <v>9</v>
      </c>
      <c r="G335" s="101" t="s">
        <v>68</v>
      </c>
      <c r="H335" s="101" t="s">
        <v>322</v>
      </c>
      <c r="I335" s="102"/>
      <c r="J335" s="96">
        <f>J336</f>
        <v>75000</v>
      </c>
    </row>
    <row r="336" spans="1:10" x14ac:dyDescent="0.25">
      <c r="A336" s="45" t="s">
        <v>130</v>
      </c>
      <c r="B336" s="101" t="s">
        <v>54</v>
      </c>
      <c r="C336" s="101" t="s">
        <v>90</v>
      </c>
      <c r="D336" s="101" t="s">
        <v>72</v>
      </c>
      <c r="E336" s="101" t="s">
        <v>81</v>
      </c>
      <c r="F336" s="102">
        <v>9</v>
      </c>
      <c r="G336" s="101" t="s">
        <v>68</v>
      </c>
      <c r="H336" s="101" t="s">
        <v>322</v>
      </c>
      <c r="I336" s="102">
        <v>310</v>
      </c>
      <c r="J336" s="96">
        <v>75000</v>
      </c>
    </row>
    <row r="337" spans="1:10" x14ac:dyDescent="0.25">
      <c r="A337" s="50" t="s">
        <v>131</v>
      </c>
      <c r="B337" s="101" t="s">
        <v>54</v>
      </c>
      <c r="C337" s="101">
        <v>11</v>
      </c>
      <c r="D337" s="101"/>
      <c r="E337" s="101"/>
      <c r="F337" s="102"/>
      <c r="G337" s="101"/>
      <c r="H337" s="101"/>
      <c r="I337" s="102"/>
      <c r="J337" s="97">
        <f>J338</f>
        <v>3683796.83</v>
      </c>
    </row>
    <row r="338" spans="1:10" x14ac:dyDescent="0.25">
      <c r="A338" s="44" t="s">
        <v>132</v>
      </c>
      <c r="B338" s="101" t="s">
        <v>54</v>
      </c>
      <c r="C338" s="101">
        <v>11</v>
      </c>
      <c r="D338" s="101" t="s">
        <v>84</v>
      </c>
      <c r="E338" s="101"/>
      <c r="F338" s="102"/>
      <c r="G338" s="101"/>
      <c r="H338" s="101"/>
      <c r="I338" s="102"/>
      <c r="J338" s="97">
        <f>J339</f>
        <v>3683796.83</v>
      </c>
    </row>
    <row r="339" spans="1:10" ht="47.25" x14ac:dyDescent="0.25">
      <c r="A339" s="45" t="s">
        <v>299</v>
      </c>
      <c r="B339" s="101" t="s">
        <v>54</v>
      </c>
      <c r="C339" s="101" t="s">
        <v>94</v>
      </c>
      <c r="D339" s="101" t="s">
        <v>84</v>
      </c>
      <c r="E339" s="101" t="s">
        <v>86</v>
      </c>
      <c r="F339" s="102">
        <v>0</v>
      </c>
      <c r="G339" s="101" t="s">
        <v>68</v>
      </c>
      <c r="H339" s="101" t="s">
        <v>69</v>
      </c>
      <c r="I339" s="102"/>
      <c r="J339" s="97">
        <f>J340</f>
        <v>3683796.83</v>
      </c>
    </row>
    <row r="340" spans="1:10" ht="47.25" x14ac:dyDescent="0.25">
      <c r="A340" s="45" t="s">
        <v>323</v>
      </c>
      <c r="B340" s="101" t="s">
        <v>54</v>
      </c>
      <c r="C340" s="101" t="s">
        <v>94</v>
      </c>
      <c r="D340" s="101" t="s">
        <v>84</v>
      </c>
      <c r="E340" s="101" t="s">
        <v>86</v>
      </c>
      <c r="F340" s="102">
        <v>4</v>
      </c>
      <c r="G340" s="101" t="s">
        <v>68</v>
      </c>
      <c r="H340" s="101" t="s">
        <v>69</v>
      </c>
      <c r="I340" s="102"/>
      <c r="J340" s="97">
        <f>J341+J343+J345+J347</f>
        <v>3683796.83</v>
      </c>
    </row>
    <row r="341" spans="1:10" x14ac:dyDescent="0.25">
      <c r="A341" s="45" t="s">
        <v>324</v>
      </c>
      <c r="B341" s="101" t="s">
        <v>54</v>
      </c>
      <c r="C341" s="101" t="s">
        <v>94</v>
      </c>
      <c r="D341" s="101" t="s">
        <v>84</v>
      </c>
      <c r="E341" s="101" t="s">
        <v>86</v>
      </c>
      <c r="F341" s="102">
        <v>4</v>
      </c>
      <c r="G341" s="101" t="s">
        <v>68</v>
      </c>
      <c r="H341" s="101" t="s">
        <v>325</v>
      </c>
      <c r="I341" s="102"/>
      <c r="J341" s="97">
        <f>J342</f>
        <v>685000</v>
      </c>
    </row>
    <row r="342" spans="1:10" ht="31.5" x14ac:dyDescent="0.25">
      <c r="A342" s="45" t="s">
        <v>75</v>
      </c>
      <c r="B342" s="101" t="s">
        <v>54</v>
      </c>
      <c r="C342" s="101" t="s">
        <v>94</v>
      </c>
      <c r="D342" s="101" t="s">
        <v>84</v>
      </c>
      <c r="E342" s="101" t="s">
        <v>86</v>
      </c>
      <c r="F342" s="102">
        <v>4</v>
      </c>
      <c r="G342" s="101" t="s">
        <v>68</v>
      </c>
      <c r="H342" s="101" t="s">
        <v>325</v>
      </c>
      <c r="I342" s="102">
        <v>240</v>
      </c>
      <c r="J342" s="97">
        <f>625000+60000</f>
        <v>685000</v>
      </c>
    </row>
    <row r="343" spans="1:10" x14ac:dyDescent="0.25">
      <c r="A343" s="45" t="s">
        <v>515</v>
      </c>
      <c r="B343" s="202" t="s">
        <v>54</v>
      </c>
      <c r="C343" s="202" t="s">
        <v>94</v>
      </c>
      <c r="D343" s="202" t="s">
        <v>84</v>
      </c>
      <c r="E343" s="202" t="s">
        <v>86</v>
      </c>
      <c r="F343" s="203">
        <v>4</v>
      </c>
      <c r="G343" s="202" t="s">
        <v>68</v>
      </c>
      <c r="H343" s="202" t="s">
        <v>514</v>
      </c>
      <c r="I343" s="203"/>
      <c r="J343" s="97">
        <f>J344</f>
        <v>66840</v>
      </c>
    </row>
    <row r="344" spans="1:10" ht="31.5" x14ac:dyDescent="0.25">
      <c r="A344" s="45" t="s">
        <v>75</v>
      </c>
      <c r="B344" s="202" t="s">
        <v>54</v>
      </c>
      <c r="C344" s="202" t="s">
        <v>94</v>
      </c>
      <c r="D344" s="202" t="s">
        <v>84</v>
      </c>
      <c r="E344" s="202" t="s">
        <v>86</v>
      </c>
      <c r="F344" s="203">
        <v>4</v>
      </c>
      <c r="G344" s="202" t="s">
        <v>68</v>
      </c>
      <c r="H344" s="202" t="s">
        <v>514</v>
      </c>
      <c r="I344" s="203">
        <v>240</v>
      </c>
      <c r="J344" s="97">
        <v>66840</v>
      </c>
    </row>
    <row r="345" spans="1:10" x14ac:dyDescent="0.25">
      <c r="A345" s="45" t="s">
        <v>273</v>
      </c>
      <c r="B345" s="101" t="s">
        <v>54</v>
      </c>
      <c r="C345" s="101" t="s">
        <v>94</v>
      </c>
      <c r="D345" s="101" t="s">
        <v>84</v>
      </c>
      <c r="E345" s="101" t="s">
        <v>86</v>
      </c>
      <c r="F345" s="102">
        <v>4</v>
      </c>
      <c r="G345" s="101" t="s">
        <v>68</v>
      </c>
      <c r="H345" s="101" t="s">
        <v>274</v>
      </c>
      <c r="I345" s="102"/>
      <c r="J345" s="97">
        <f>J346</f>
        <v>1432156.83</v>
      </c>
    </row>
    <row r="346" spans="1:10" ht="31.5" x14ac:dyDescent="0.25">
      <c r="A346" s="45" t="s">
        <v>75</v>
      </c>
      <c r="B346" s="101" t="s">
        <v>54</v>
      </c>
      <c r="C346" s="101" t="s">
        <v>94</v>
      </c>
      <c r="D346" s="101" t="s">
        <v>84</v>
      </c>
      <c r="E346" s="101" t="s">
        <v>86</v>
      </c>
      <c r="F346" s="102">
        <v>4</v>
      </c>
      <c r="G346" s="101" t="s">
        <v>68</v>
      </c>
      <c r="H346" s="101" t="s">
        <v>274</v>
      </c>
      <c r="I346" s="102">
        <v>240</v>
      </c>
      <c r="J346" s="97">
        <v>1432156.83</v>
      </c>
    </row>
    <row r="347" spans="1:10" x14ac:dyDescent="0.25">
      <c r="A347" s="45" t="s">
        <v>326</v>
      </c>
      <c r="B347" s="101" t="s">
        <v>54</v>
      </c>
      <c r="C347" s="101" t="s">
        <v>94</v>
      </c>
      <c r="D347" s="101" t="s">
        <v>84</v>
      </c>
      <c r="E347" s="101" t="s">
        <v>86</v>
      </c>
      <c r="F347" s="102">
        <v>4</v>
      </c>
      <c r="G347" s="101" t="s">
        <v>68</v>
      </c>
      <c r="H347" s="101" t="s">
        <v>327</v>
      </c>
      <c r="I347" s="102"/>
      <c r="J347" s="97">
        <f>J348</f>
        <v>1499800</v>
      </c>
    </row>
    <row r="348" spans="1:10" ht="31.5" x14ac:dyDescent="0.25">
      <c r="A348" s="45" t="s">
        <v>75</v>
      </c>
      <c r="B348" s="101" t="s">
        <v>54</v>
      </c>
      <c r="C348" s="101" t="s">
        <v>94</v>
      </c>
      <c r="D348" s="101" t="s">
        <v>84</v>
      </c>
      <c r="E348" s="101" t="s">
        <v>86</v>
      </c>
      <c r="F348" s="102">
        <v>4</v>
      </c>
      <c r="G348" s="101" t="s">
        <v>68</v>
      </c>
      <c r="H348" s="101" t="s">
        <v>327</v>
      </c>
      <c r="I348" s="102">
        <v>240</v>
      </c>
      <c r="J348" s="97">
        <f>1500000-200</f>
        <v>1499800</v>
      </c>
    </row>
    <row r="349" spans="1:10" x14ac:dyDescent="0.25">
      <c r="A349" s="63" t="s">
        <v>338</v>
      </c>
      <c r="B349" s="64">
        <v>872</v>
      </c>
      <c r="C349" s="65" t="s">
        <v>333</v>
      </c>
      <c r="D349" s="65" t="s">
        <v>333</v>
      </c>
      <c r="E349" s="66" t="s">
        <v>333</v>
      </c>
      <c r="F349" s="67" t="s">
        <v>333</v>
      </c>
      <c r="G349" s="68" t="s">
        <v>333</v>
      </c>
      <c r="H349" s="69" t="s">
        <v>333</v>
      </c>
      <c r="I349" s="67"/>
      <c r="J349" s="99">
        <f>J350</f>
        <v>1359385.32</v>
      </c>
    </row>
    <row r="350" spans="1:10" x14ac:dyDescent="0.25">
      <c r="A350" s="43" t="s">
        <v>64</v>
      </c>
      <c r="B350" s="101" t="s">
        <v>339</v>
      </c>
      <c r="C350" s="101" t="s">
        <v>65</v>
      </c>
      <c r="D350" s="102" t="s">
        <v>22</v>
      </c>
      <c r="E350" s="101" t="s">
        <v>134</v>
      </c>
      <c r="F350" s="102"/>
      <c r="G350" s="101"/>
      <c r="H350" s="101"/>
      <c r="I350" s="102" t="s">
        <v>135</v>
      </c>
      <c r="J350" s="96">
        <f>J351+J359</f>
        <v>1359385.32</v>
      </c>
    </row>
    <row r="351" spans="1:10" ht="47.25" x14ac:dyDescent="0.25">
      <c r="A351" s="43" t="s">
        <v>71</v>
      </c>
      <c r="B351" s="101" t="s">
        <v>339</v>
      </c>
      <c r="C351" s="101" t="s">
        <v>65</v>
      </c>
      <c r="D351" s="101" t="s">
        <v>72</v>
      </c>
      <c r="E351" s="101" t="s">
        <v>134</v>
      </c>
      <c r="F351" s="102"/>
      <c r="G351" s="101"/>
      <c r="H351" s="101"/>
      <c r="I351" s="102" t="s">
        <v>135</v>
      </c>
      <c r="J351" s="96">
        <f>J352</f>
        <v>1354385.32</v>
      </c>
    </row>
    <row r="352" spans="1:10" x14ac:dyDescent="0.25">
      <c r="A352" s="44" t="s">
        <v>136</v>
      </c>
      <c r="B352" s="101" t="s">
        <v>339</v>
      </c>
      <c r="C352" s="101" t="s">
        <v>65</v>
      </c>
      <c r="D352" s="101" t="s">
        <v>72</v>
      </c>
      <c r="E352" s="101">
        <v>91</v>
      </c>
      <c r="F352" s="102">
        <v>0</v>
      </c>
      <c r="G352" s="101" t="s">
        <v>67</v>
      </c>
      <c r="H352" s="101" t="s">
        <v>69</v>
      </c>
      <c r="I352" s="102" t="s">
        <v>135</v>
      </c>
      <c r="J352" s="96">
        <f>J353</f>
        <v>1354385.32</v>
      </c>
    </row>
    <row r="353" spans="1:10" ht="31.5" x14ac:dyDescent="0.25">
      <c r="A353" s="44" t="s">
        <v>137</v>
      </c>
      <c r="B353" s="101" t="s">
        <v>339</v>
      </c>
      <c r="C353" s="101" t="s">
        <v>65</v>
      </c>
      <c r="D353" s="101" t="s">
        <v>72</v>
      </c>
      <c r="E353" s="101">
        <v>91</v>
      </c>
      <c r="F353" s="102">
        <v>1</v>
      </c>
      <c r="G353" s="101" t="s">
        <v>68</v>
      </c>
      <c r="H353" s="101" t="s">
        <v>69</v>
      </c>
      <c r="I353" s="102"/>
      <c r="J353" s="96">
        <f>J354+J356</f>
        <v>1354385.32</v>
      </c>
    </row>
    <row r="354" spans="1:10" ht="47.25" x14ac:dyDescent="0.25">
      <c r="A354" s="44" t="s">
        <v>513</v>
      </c>
      <c r="B354" s="101" t="s">
        <v>339</v>
      </c>
      <c r="C354" s="101" t="s">
        <v>65</v>
      </c>
      <c r="D354" s="101" t="s">
        <v>72</v>
      </c>
      <c r="E354" s="101">
        <v>91</v>
      </c>
      <c r="F354" s="102">
        <v>1</v>
      </c>
      <c r="G354" s="101" t="s">
        <v>68</v>
      </c>
      <c r="H354" s="101" t="s">
        <v>139</v>
      </c>
      <c r="I354" s="102"/>
      <c r="J354" s="96">
        <f>J355</f>
        <v>1332385.32</v>
      </c>
    </row>
    <row r="355" spans="1:10" x14ac:dyDescent="0.25">
      <c r="A355" s="44" t="s">
        <v>140</v>
      </c>
      <c r="B355" s="101" t="s">
        <v>339</v>
      </c>
      <c r="C355" s="101" t="s">
        <v>65</v>
      </c>
      <c r="D355" s="101" t="s">
        <v>72</v>
      </c>
      <c r="E355" s="101">
        <v>91</v>
      </c>
      <c r="F355" s="102">
        <v>1</v>
      </c>
      <c r="G355" s="101" t="s">
        <v>68</v>
      </c>
      <c r="H355" s="101" t="s">
        <v>139</v>
      </c>
      <c r="I355" s="102">
        <v>120</v>
      </c>
      <c r="J355" s="97">
        <f>1200385.32+132000</f>
        <v>1332385.32</v>
      </c>
    </row>
    <row r="356" spans="1:10" ht="63" x14ac:dyDescent="0.25">
      <c r="A356" s="44" t="s">
        <v>141</v>
      </c>
      <c r="B356" s="101" t="s">
        <v>339</v>
      </c>
      <c r="C356" s="101" t="s">
        <v>65</v>
      </c>
      <c r="D356" s="101" t="s">
        <v>72</v>
      </c>
      <c r="E356" s="101">
        <v>91</v>
      </c>
      <c r="F356" s="102">
        <v>1</v>
      </c>
      <c r="G356" s="101" t="s">
        <v>68</v>
      </c>
      <c r="H356" s="101" t="s">
        <v>142</v>
      </c>
      <c r="I356" s="102"/>
      <c r="J356" s="97">
        <f>SUM(J357:J358)</f>
        <v>22000</v>
      </c>
    </row>
    <row r="357" spans="1:10" ht="31.5" x14ac:dyDescent="0.25">
      <c r="A357" s="45" t="s">
        <v>75</v>
      </c>
      <c r="B357" s="101" t="s">
        <v>339</v>
      </c>
      <c r="C357" s="101" t="s">
        <v>65</v>
      </c>
      <c r="D357" s="101" t="s">
        <v>72</v>
      </c>
      <c r="E357" s="101">
        <v>91</v>
      </c>
      <c r="F357" s="102">
        <v>1</v>
      </c>
      <c r="G357" s="101" t="s">
        <v>68</v>
      </c>
      <c r="H357" s="101" t="s">
        <v>142</v>
      </c>
      <c r="I357" s="102">
        <v>240</v>
      </c>
      <c r="J357" s="97">
        <f>7000+15000</f>
        <v>22000</v>
      </c>
    </row>
    <row r="358" spans="1:10" hidden="1" x14ac:dyDescent="0.25">
      <c r="A358" s="45" t="s">
        <v>77</v>
      </c>
      <c r="B358" s="101" t="s">
        <v>339</v>
      </c>
      <c r="C358" s="101" t="s">
        <v>65</v>
      </c>
      <c r="D358" s="101" t="s">
        <v>72</v>
      </c>
      <c r="E358" s="101">
        <v>91</v>
      </c>
      <c r="F358" s="102">
        <v>1</v>
      </c>
      <c r="G358" s="101" t="s">
        <v>68</v>
      </c>
      <c r="H358" s="101" t="s">
        <v>142</v>
      </c>
      <c r="I358" s="102">
        <v>850</v>
      </c>
      <c r="J358" s="97"/>
    </row>
    <row r="359" spans="1:10" x14ac:dyDescent="0.25">
      <c r="A359" s="45" t="s">
        <v>98</v>
      </c>
      <c r="B359" s="101" t="s">
        <v>339</v>
      </c>
      <c r="C359" s="101" t="s">
        <v>65</v>
      </c>
      <c r="D359" s="101" t="s">
        <v>99</v>
      </c>
      <c r="E359" s="101"/>
      <c r="F359" s="101"/>
      <c r="G359" s="101"/>
      <c r="H359" s="101"/>
      <c r="I359" s="101"/>
      <c r="J359" s="97">
        <f>J360</f>
        <v>5000</v>
      </c>
    </row>
    <row r="360" spans="1:10" x14ac:dyDescent="0.25">
      <c r="A360" s="44" t="s">
        <v>136</v>
      </c>
      <c r="B360" s="101" t="s">
        <v>339</v>
      </c>
      <c r="C360" s="101" t="s">
        <v>65</v>
      </c>
      <c r="D360" s="102">
        <v>13</v>
      </c>
      <c r="E360" s="101" t="s">
        <v>202</v>
      </c>
      <c r="F360" s="102">
        <v>0</v>
      </c>
      <c r="G360" s="101" t="s">
        <v>68</v>
      </c>
      <c r="H360" s="101" t="s">
        <v>69</v>
      </c>
      <c r="I360" s="102"/>
      <c r="J360" s="97">
        <f>J361</f>
        <v>5000</v>
      </c>
    </row>
    <row r="361" spans="1:10" ht="31.5" x14ac:dyDescent="0.25">
      <c r="A361" s="44" t="s">
        <v>137</v>
      </c>
      <c r="B361" s="101" t="s">
        <v>339</v>
      </c>
      <c r="C361" s="101" t="s">
        <v>65</v>
      </c>
      <c r="D361" s="102">
        <v>13</v>
      </c>
      <c r="E361" s="102">
        <v>91</v>
      </c>
      <c r="F361" s="102">
        <v>1</v>
      </c>
      <c r="G361" s="101" t="s">
        <v>68</v>
      </c>
      <c r="H361" s="101" t="s">
        <v>69</v>
      </c>
      <c r="I361" s="102"/>
      <c r="J361" s="97">
        <f>J362</f>
        <v>5000</v>
      </c>
    </row>
    <row r="362" spans="1:10" ht="47.25" x14ac:dyDescent="0.25">
      <c r="A362" s="44" t="s">
        <v>203</v>
      </c>
      <c r="B362" s="101" t="s">
        <v>339</v>
      </c>
      <c r="C362" s="101" t="s">
        <v>65</v>
      </c>
      <c r="D362" s="102">
        <v>13</v>
      </c>
      <c r="E362" s="102">
        <v>91</v>
      </c>
      <c r="F362" s="102">
        <v>1</v>
      </c>
      <c r="G362" s="101" t="s">
        <v>68</v>
      </c>
      <c r="H362" s="101" t="s">
        <v>204</v>
      </c>
      <c r="I362" s="102"/>
      <c r="J362" s="97">
        <f>J363</f>
        <v>5000</v>
      </c>
    </row>
    <row r="363" spans="1:10" ht="31.5" x14ac:dyDescent="0.25">
      <c r="A363" s="44" t="s">
        <v>75</v>
      </c>
      <c r="B363" s="101" t="s">
        <v>339</v>
      </c>
      <c r="C363" s="101" t="s">
        <v>65</v>
      </c>
      <c r="D363" s="102">
        <v>13</v>
      </c>
      <c r="E363" s="102">
        <v>91</v>
      </c>
      <c r="F363" s="102">
        <v>1</v>
      </c>
      <c r="G363" s="101" t="s">
        <v>68</v>
      </c>
      <c r="H363" s="101" t="s">
        <v>204</v>
      </c>
      <c r="I363" s="102">
        <v>240</v>
      </c>
      <c r="J363" s="97">
        <f>20000-15000</f>
        <v>5000</v>
      </c>
    </row>
    <row r="364" spans="1:10" x14ac:dyDescent="0.25">
      <c r="A364" s="53" t="s">
        <v>133</v>
      </c>
      <c r="B364" s="55"/>
      <c r="C364" s="54"/>
      <c r="D364" s="55"/>
      <c r="E364" s="54"/>
      <c r="F364" s="55"/>
      <c r="G364" s="54"/>
      <c r="H364" s="56"/>
      <c r="I364" s="56"/>
      <c r="J364" s="98">
        <f>J21+J349</f>
        <v>228810921.28000006</v>
      </c>
    </row>
    <row r="365" spans="1:10" x14ac:dyDescent="0.25">
      <c r="I365" s="31">
        <v>1</v>
      </c>
      <c r="J365" s="100">
        <f>J350+J22</f>
        <v>36194443.770000003</v>
      </c>
    </row>
    <row r="366" spans="1:10" x14ac:dyDescent="0.25">
      <c r="I366" s="31">
        <v>2</v>
      </c>
      <c r="J366" s="100">
        <f>J138</f>
        <v>539652.86</v>
      </c>
    </row>
    <row r="367" spans="1:10" x14ac:dyDescent="0.25">
      <c r="I367" s="31">
        <v>3</v>
      </c>
      <c r="J367" s="100">
        <f>J147</f>
        <v>1588178.6</v>
      </c>
    </row>
    <row r="368" spans="1:10" x14ac:dyDescent="0.25">
      <c r="I368" s="31">
        <v>4</v>
      </c>
      <c r="J368" s="100">
        <f>J174</f>
        <v>57470729.88000001</v>
      </c>
    </row>
    <row r="369" spans="9:11" x14ac:dyDescent="0.25">
      <c r="I369" s="31">
        <v>5</v>
      </c>
      <c r="J369" s="100">
        <f>J204</f>
        <v>97628238.600000009</v>
      </c>
    </row>
    <row r="370" spans="9:11" x14ac:dyDescent="0.25">
      <c r="I370" s="31">
        <v>7</v>
      </c>
      <c r="J370" s="100">
        <f>J275</f>
        <v>3161900</v>
      </c>
    </row>
    <row r="371" spans="9:11" x14ac:dyDescent="0.25">
      <c r="I371" s="31">
        <v>8</v>
      </c>
      <c r="J371" s="100">
        <f>J287</f>
        <v>27760740.739999998</v>
      </c>
    </row>
    <row r="372" spans="9:11" x14ac:dyDescent="0.25">
      <c r="I372" s="31">
        <v>9</v>
      </c>
    </row>
    <row r="373" spans="9:11" x14ac:dyDescent="0.25">
      <c r="I373" s="31">
        <v>10</v>
      </c>
      <c r="J373" s="100">
        <f>J327</f>
        <v>783240</v>
      </c>
    </row>
    <row r="374" spans="9:11" x14ac:dyDescent="0.25">
      <c r="I374" s="31">
        <v>11</v>
      </c>
      <c r="J374" s="100">
        <f>J337</f>
        <v>3683796.83</v>
      </c>
    </row>
    <row r="375" spans="9:11" x14ac:dyDescent="0.25">
      <c r="J375" s="100">
        <f>SUM(J365:J374)</f>
        <v>228810921.28000006</v>
      </c>
      <c r="K375" s="104"/>
    </row>
    <row r="376" spans="9:11" x14ac:dyDescent="0.25">
      <c r="I376" s="31" t="s">
        <v>396</v>
      </c>
      <c r="J376" s="100">
        <f>J65+J80+J100+J106+J110+J117+J149+J158+J176+J201+J206+J218+J245+J261+J267+J277+J281+J289+J300+J308+J319+J339</f>
        <v>203458746.23000002</v>
      </c>
      <c r="K376" s="104"/>
    </row>
    <row r="377" spans="9:11" x14ac:dyDescent="0.25">
      <c r="I377" s="31" t="s">
        <v>413</v>
      </c>
      <c r="J377" s="100">
        <f>'Прил 1'!C51</f>
        <v>176389919.13999999</v>
      </c>
    </row>
    <row r="378" spans="9:11" x14ac:dyDescent="0.25">
      <c r="I378" s="31" t="s">
        <v>414</v>
      </c>
      <c r="J378" s="100">
        <f>J377-J375</f>
        <v>-52421002.140000075</v>
      </c>
    </row>
  </sheetData>
  <autoFilter ref="A21:J21"/>
  <mergeCells count="16">
    <mergeCell ref="D6:J6"/>
    <mergeCell ref="D7:J7"/>
    <mergeCell ref="D1:J1"/>
    <mergeCell ref="D2:J2"/>
    <mergeCell ref="D3:J3"/>
    <mergeCell ref="D4:J4"/>
    <mergeCell ref="D5:J5"/>
    <mergeCell ref="E20:H20"/>
    <mergeCell ref="D11:J11"/>
    <mergeCell ref="D10:J10"/>
    <mergeCell ref="D12:J12"/>
    <mergeCell ref="D13:J13"/>
    <mergeCell ref="D14:J14"/>
    <mergeCell ref="D15:J15"/>
    <mergeCell ref="A17:J17"/>
    <mergeCell ref="A19:J19"/>
  </mergeCells>
  <pageMargins left="0.78740157480314965" right="0.19685039370078741" top="0.39370078740157483" bottom="0.39370078740157483" header="0" footer="0.19685039370078741"/>
  <pageSetup paperSize="9" fitToHeight="25" orientation="landscape" r:id="rId1"/>
  <headerFooter differentFirst="1">
    <oddHeader>&amp;C&amp;"Times New Roman,обычный"&amp;10&amp;K000000&amp;P</oddHeader>
  </headerFooter>
  <rowBreaks count="1" manualBreakCount="1">
    <brk id="2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K329"/>
  <sheetViews>
    <sheetView view="pageBreakPreview" zoomScaleNormal="100" zoomScaleSheetLayoutView="100" workbookViewId="0">
      <selection activeCell="E19" sqref="E19:H19"/>
    </sheetView>
  </sheetViews>
  <sheetFormatPr defaultColWidth="8.85546875" defaultRowHeight="15.75" x14ac:dyDescent="0.25"/>
  <cols>
    <col min="1" max="1" width="52.85546875" style="176" customWidth="1"/>
    <col min="2" max="4" width="6.7109375" style="177" customWidth="1"/>
    <col min="5" max="7" width="4.42578125" style="177" customWidth="1"/>
    <col min="8" max="8" width="7.7109375" style="177" customWidth="1"/>
    <col min="9" max="9" width="7.85546875" style="177" customWidth="1"/>
    <col min="10" max="11" width="17.28515625" style="179" customWidth="1"/>
    <col min="12" max="16384" width="8.85546875" style="147"/>
  </cols>
  <sheetData>
    <row r="1" spans="1:11" x14ac:dyDescent="0.25">
      <c r="E1" s="246" t="s">
        <v>328</v>
      </c>
      <c r="F1" s="246"/>
      <c r="G1" s="246"/>
      <c r="H1" s="246"/>
      <c r="I1" s="246"/>
      <c r="J1" s="246"/>
      <c r="K1" s="246"/>
    </row>
    <row r="2" spans="1:11" x14ac:dyDescent="0.25">
      <c r="E2" s="246" t="s">
        <v>38</v>
      </c>
      <c r="F2" s="246"/>
      <c r="G2" s="246"/>
      <c r="H2" s="246"/>
      <c r="I2" s="246"/>
      <c r="J2" s="246"/>
      <c r="K2" s="246"/>
    </row>
    <row r="3" spans="1:11" x14ac:dyDescent="0.25">
      <c r="E3" s="246" t="s">
        <v>436</v>
      </c>
      <c r="F3" s="246"/>
      <c r="G3" s="246"/>
      <c r="H3" s="246"/>
      <c r="I3" s="246"/>
      <c r="J3" s="246"/>
      <c r="K3" s="246"/>
    </row>
    <row r="4" spans="1:11" x14ac:dyDescent="0.25">
      <c r="E4" s="246" t="s">
        <v>440</v>
      </c>
      <c r="F4" s="246"/>
      <c r="G4" s="246"/>
      <c r="H4" s="246"/>
      <c r="I4" s="246"/>
      <c r="J4" s="246"/>
      <c r="K4" s="246"/>
    </row>
    <row r="5" spans="1:11" x14ac:dyDescent="0.25">
      <c r="E5" s="246" t="s">
        <v>437</v>
      </c>
      <c r="F5" s="246"/>
      <c r="G5" s="246"/>
      <c r="H5" s="246"/>
      <c r="I5" s="246"/>
      <c r="J5" s="246"/>
      <c r="K5" s="246"/>
    </row>
    <row r="6" spans="1:11" x14ac:dyDescent="0.25">
      <c r="E6" s="246" t="s">
        <v>441</v>
      </c>
      <c r="F6" s="246"/>
      <c r="G6" s="246"/>
      <c r="H6" s="246"/>
      <c r="I6" s="246"/>
      <c r="J6" s="246"/>
      <c r="K6" s="246"/>
    </row>
    <row r="7" spans="1:11" x14ac:dyDescent="0.25">
      <c r="E7" s="246" t="s">
        <v>504</v>
      </c>
      <c r="F7" s="246"/>
      <c r="G7" s="246"/>
      <c r="H7" s="246"/>
      <c r="I7" s="246"/>
      <c r="J7" s="246"/>
      <c r="K7" s="246"/>
    </row>
    <row r="9" spans="1:11" s="181" customFormat="1" ht="15" customHeight="1" x14ac:dyDescent="0.25">
      <c r="A9" s="180"/>
      <c r="B9" s="180"/>
      <c r="C9" s="180"/>
      <c r="D9" s="180"/>
      <c r="E9" s="180"/>
      <c r="F9" s="263" t="s">
        <v>488</v>
      </c>
      <c r="G9" s="263"/>
      <c r="H9" s="263"/>
      <c r="I9" s="263"/>
      <c r="J9" s="263"/>
      <c r="K9" s="263"/>
    </row>
    <row r="10" spans="1:11" s="181" customFormat="1" ht="15" customHeight="1" x14ac:dyDescent="0.25">
      <c r="A10" s="180"/>
      <c r="B10" s="180"/>
      <c r="C10" s="180"/>
      <c r="D10" s="180"/>
      <c r="E10" s="180"/>
      <c r="F10" s="263" t="s">
        <v>38</v>
      </c>
      <c r="G10" s="263"/>
      <c r="H10" s="263"/>
      <c r="I10" s="263"/>
      <c r="J10" s="263"/>
      <c r="K10" s="263"/>
    </row>
    <row r="11" spans="1:11" s="181" customFormat="1" ht="15" x14ac:dyDescent="0.25">
      <c r="A11" s="180"/>
      <c r="B11" s="180"/>
      <c r="C11" s="180"/>
      <c r="D11" s="180"/>
      <c r="E11" s="180"/>
      <c r="F11" s="264" t="s">
        <v>40</v>
      </c>
      <c r="G11" s="264"/>
      <c r="H11" s="264"/>
      <c r="I11" s="264"/>
      <c r="J11" s="264"/>
      <c r="K11" s="264"/>
    </row>
    <row r="12" spans="1:11" s="181" customFormat="1" ht="15" x14ac:dyDescent="0.25">
      <c r="A12" s="180"/>
      <c r="B12" s="180"/>
      <c r="C12" s="180"/>
      <c r="D12" s="180"/>
      <c r="E12" s="180"/>
      <c r="F12" s="264" t="s">
        <v>41</v>
      </c>
      <c r="G12" s="264"/>
      <c r="H12" s="264"/>
      <c r="I12" s="264"/>
      <c r="J12" s="264"/>
      <c r="K12" s="264"/>
    </row>
    <row r="13" spans="1:11" s="181" customFormat="1" ht="15" x14ac:dyDescent="0.25">
      <c r="A13" s="180"/>
      <c r="B13" s="180"/>
      <c r="C13" s="180"/>
      <c r="D13" s="180"/>
      <c r="E13" s="180"/>
      <c r="F13" s="264" t="s">
        <v>419</v>
      </c>
      <c r="G13" s="264"/>
      <c r="H13" s="264"/>
      <c r="I13" s="264"/>
      <c r="J13" s="264"/>
      <c r="K13" s="264"/>
    </row>
    <row r="14" spans="1:11" s="181" customFormat="1" ht="15" x14ac:dyDescent="0.25">
      <c r="A14" s="180"/>
      <c r="B14" s="180"/>
      <c r="C14" s="180"/>
      <c r="D14" s="180"/>
      <c r="E14" s="180"/>
      <c r="F14" s="264" t="s">
        <v>435</v>
      </c>
      <c r="G14" s="264"/>
      <c r="H14" s="264"/>
      <c r="I14" s="264"/>
      <c r="J14" s="264"/>
      <c r="K14" s="264"/>
    </row>
    <row r="15" spans="1:11" x14ac:dyDescent="0.25">
      <c r="A15" s="145"/>
      <c r="B15" s="146"/>
      <c r="C15" s="146"/>
      <c r="D15" s="146"/>
      <c r="E15" s="146"/>
      <c r="F15" s="146"/>
      <c r="G15" s="146"/>
      <c r="H15" s="146"/>
      <c r="I15" s="146"/>
      <c r="J15" s="148"/>
      <c r="K15" s="148"/>
    </row>
    <row r="16" spans="1:11" ht="38.450000000000003" customHeight="1" x14ac:dyDescent="0.25">
      <c r="A16" s="247" t="s">
        <v>489</v>
      </c>
      <c r="B16" s="247"/>
      <c r="C16" s="247"/>
      <c r="D16" s="247"/>
      <c r="E16" s="247"/>
      <c r="F16" s="247"/>
      <c r="G16" s="247"/>
      <c r="H16" s="247"/>
      <c r="I16" s="247"/>
      <c r="J16" s="247"/>
      <c r="K16" s="247"/>
    </row>
    <row r="17" spans="1:11" x14ac:dyDescent="0.25">
      <c r="A17" s="149"/>
      <c r="B17" s="150"/>
      <c r="C17" s="150"/>
      <c r="D17" s="150"/>
      <c r="E17" s="150"/>
      <c r="F17" s="150"/>
      <c r="G17" s="150"/>
      <c r="H17" s="150"/>
      <c r="I17" s="150"/>
      <c r="J17" s="151"/>
      <c r="K17" s="151"/>
    </row>
    <row r="18" spans="1:11" x14ac:dyDescent="0.25">
      <c r="A18" s="248" t="s">
        <v>37</v>
      </c>
      <c r="B18" s="248"/>
      <c r="C18" s="248"/>
      <c r="D18" s="248"/>
      <c r="E18" s="248"/>
      <c r="F18" s="248"/>
      <c r="G18" s="248"/>
      <c r="H18" s="248"/>
      <c r="I18" s="248"/>
      <c r="J18" s="248"/>
      <c r="K18" s="248"/>
    </row>
    <row r="19" spans="1:11" ht="96" customHeight="1" x14ac:dyDescent="0.25">
      <c r="A19" s="182" t="s">
        <v>59</v>
      </c>
      <c r="B19" s="182" t="s">
        <v>329</v>
      </c>
      <c r="C19" s="182" t="s">
        <v>330</v>
      </c>
      <c r="D19" s="182" t="s">
        <v>331</v>
      </c>
      <c r="E19" s="260" t="s">
        <v>62</v>
      </c>
      <c r="F19" s="261"/>
      <c r="G19" s="261"/>
      <c r="H19" s="262"/>
      <c r="I19" s="182" t="s">
        <v>490</v>
      </c>
      <c r="J19" s="182" t="s">
        <v>397</v>
      </c>
      <c r="K19" s="182" t="s">
        <v>420</v>
      </c>
    </row>
    <row r="20" spans="1:11" x14ac:dyDescent="0.25">
      <c r="A20" s="63" t="s">
        <v>332</v>
      </c>
      <c r="B20" s="64">
        <v>871</v>
      </c>
      <c r="C20" s="65" t="s">
        <v>333</v>
      </c>
      <c r="D20" s="65" t="s">
        <v>333</v>
      </c>
      <c r="E20" s="66" t="s">
        <v>333</v>
      </c>
      <c r="F20" s="67" t="s">
        <v>333</v>
      </c>
      <c r="G20" s="68" t="s">
        <v>333</v>
      </c>
      <c r="H20" s="69" t="s">
        <v>333</v>
      </c>
      <c r="I20" s="67"/>
      <c r="J20" s="99">
        <f>J21+J109+J117+J144+J169+J238+J250+J279+J289</f>
        <v>159629736.21000001</v>
      </c>
      <c r="K20" s="99">
        <f>K21+K109+K117+K144+K169+K238+K250+K279+K289</f>
        <v>162068860.21000001</v>
      </c>
    </row>
    <row r="21" spans="1:11" x14ac:dyDescent="0.25">
      <c r="A21" s="37" t="s">
        <v>64</v>
      </c>
      <c r="B21" s="70">
        <v>871</v>
      </c>
      <c r="C21" s="38">
        <v>1</v>
      </c>
      <c r="D21" s="65"/>
      <c r="E21" s="66"/>
      <c r="F21" s="67"/>
      <c r="G21" s="68"/>
      <c r="H21" s="69"/>
      <c r="I21" s="67"/>
      <c r="J21" s="95">
        <f>J22+J43+J48+J53</f>
        <v>25535510.5</v>
      </c>
      <c r="K21" s="95">
        <f>K22+K43+K48+K53</f>
        <v>24833583.52</v>
      </c>
    </row>
    <row r="22" spans="1:11" ht="63" x14ac:dyDescent="0.25">
      <c r="A22" s="44" t="s">
        <v>82</v>
      </c>
      <c r="B22" s="71">
        <v>871</v>
      </c>
      <c r="C22" s="126" t="s">
        <v>65</v>
      </c>
      <c r="D22" s="127" t="s">
        <v>83</v>
      </c>
      <c r="E22" s="126" t="s">
        <v>134</v>
      </c>
      <c r="F22" s="127"/>
      <c r="G22" s="126"/>
      <c r="H22" s="126"/>
      <c r="I22" s="127" t="s">
        <v>135</v>
      </c>
      <c r="J22" s="97">
        <f>J23+J33</f>
        <v>15293265.91</v>
      </c>
      <c r="K22" s="97">
        <f>K23+K33</f>
        <v>14933069.84</v>
      </c>
    </row>
    <row r="23" spans="1:11" ht="31.5" x14ac:dyDescent="0.25">
      <c r="A23" s="44" t="s">
        <v>146</v>
      </c>
      <c r="B23" s="127">
        <v>871</v>
      </c>
      <c r="C23" s="126" t="s">
        <v>65</v>
      </c>
      <c r="D23" s="127" t="s">
        <v>83</v>
      </c>
      <c r="E23" s="126">
        <v>92</v>
      </c>
      <c r="F23" s="127">
        <v>0</v>
      </c>
      <c r="G23" s="126" t="s">
        <v>68</v>
      </c>
      <c r="H23" s="126" t="s">
        <v>69</v>
      </c>
      <c r="I23" s="127"/>
      <c r="J23" s="97">
        <f>J24+J27</f>
        <v>14367765.91</v>
      </c>
      <c r="K23" s="97">
        <f>K24+K27</f>
        <v>14933069.84</v>
      </c>
    </row>
    <row r="24" spans="1:11" x14ac:dyDescent="0.25">
      <c r="A24" s="46" t="s">
        <v>147</v>
      </c>
      <c r="B24" s="127">
        <v>871</v>
      </c>
      <c r="C24" s="126" t="s">
        <v>65</v>
      </c>
      <c r="D24" s="127" t="s">
        <v>83</v>
      </c>
      <c r="E24" s="126">
        <v>92</v>
      </c>
      <c r="F24" s="127">
        <v>1</v>
      </c>
      <c r="G24" s="126" t="s">
        <v>68</v>
      </c>
      <c r="H24" s="126" t="s">
        <v>69</v>
      </c>
      <c r="I24" s="127"/>
      <c r="J24" s="97">
        <f>J25</f>
        <v>1454389.57</v>
      </c>
      <c r="K24" s="97">
        <f>K25</f>
        <v>1512590.84</v>
      </c>
    </row>
    <row r="25" spans="1:11" ht="78.75" x14ac:dyDescent="0.25">
      <c r="A25" s="46" t="s">
        <v>148</v>
      </c>
      <c r="B25" s="127">
        <v>871</v>
      </c>
      <c r="C25" s="126" t="s">
        <v>65</v>
      </c>
      <c r="D25" s="127" t="s">
        <v>83</v>
      </c>
      <c r="E25" s="126">
        <v>92</v>
      </c>
      <c r="F25" s="127">
        <v>1</v>
      </c>
      <c r="G25" s="126" t="s">
        <v>68</v>
      </c>
      <c r="H25" s="126" t="s">
        <v>139</v>
      </c>
      <c r="I25" s="127"/>
      <c r="J25" s="97">
        <f>J26</f>
        <v>1454389.57</v>
      </c>
      <c r="K25" s="97">
        <f>K26</f>
        <v>1512590.84</v>
      </c>
    </row>
    <row r="26" spans="1:11" ht="31.5" x14ac:dyDescent="0.25">
      <c r="A26" s="44" t="s">
        <v>140</v>
      </c>
      <c r="B26" s="127">
        <v>871</v>
      </c>
      <c r="C26" s="126" t="s">
        <v>65</v>
      </c>
      <c r="D26" s="127" t="s">
        <v>83</v>
      </c>
      <c r="E26" s="126">
        <v>92</v>
      </c>
      <c r="F26" s="127">
        <v>1</v>
      </c>
      <c r="G26" s="126" t="s">
        <v>68</v>
      </c>
      <c r="H26" s="126" t="s">
        <v>139</v>
      </c>
      <c r="I26" s="127">
        <v>120</v>
      </c>
      <c r="J26" s="97">
        <v>1454389.57</v>
      </c>
      <c r="K26" s="97">
        <v>1512590.84</v>
      </c>
    </row>
    <row r="27" spans="1:11" x14ac:dyDescent="0.25">
      <c r="A27" s="45" t="s">
        <v>149</v>
      </c>
      <c r="B27" s="127">
        <v>871</v>
      </c>
      <c r="C27" s="126" t="s">
        <v>65</v>
      </c>
      <c r="D27" s="127" t="s">
        <v>83</v>
      </c>
      <c r="E27" s="126">
        <v>92</v>
      </c>
      <c r="F27" s="127">
        <v>2</v>
      </c>
      <c r="G27" s="126" t="s">
        <v>68</v>
      </c>
      <c r="H27" s="126" t="s">
        <v>69</v>
      </c>
      <c r="I27" s="127"/>
      <c r="J27" s="97">
        <f>J28+J30</f>
        <v>12913376.34</v>
      </c>
      <c r="K27" s="97">
        <f>K28+K30</f>
        <v>13420479</v>
      </c>
    </row>
    <row r="28" spans="1:11" ht="78.75" x14ac:dyDescent="0.25">
      <c r="A28" s="45" t="s">
        <v>148</v>
      </c>
      <c r="B28" s="127">
        <v>871</v>
      </c>
      <c r="C28" s="126" t="s">
        <v>65</v>
      </c>
      <c r="D28" s="127" t="s">
        <v>83</v>
      </c>
      <c r="E28" s="126">
        <v>92</v>
      </c>
      <c r="F28" s="127">
        <v>2</v>
      </c>
      <c r="G28" s="126" t="s">
        <v>68</v>
      </c>
      <c r="H28" s="126" t="s">
        <v>139</v>
      </c>
      <c r="I28" s="127"/>
      <c r="J28" s="97">
        <f>J29</f>
        <v>11535836.34</v>
      </c>
      <c r="K28" s="97">
        <f>K29</f>
        <v>11997237.439999999</v>
      </c>
    </row>
    <row r="29" spans="1:11" ht="31.5" x14ac:dyDescent="0.25">
      <c r="A29" s="44" t="s">
        <v>140</v>
      </c>
      <c r="B29" s="127">
        <v>871</v>
      </c>
      <c r="C29" s="126" t="s">
        <v>65</v>
      </c>
      <c r="D29" s="127" t="s">
        <v>83</v>
      </c>
      <c r="E29" s="126">
        <v>92</v>
      </c>
      <c r="F29" s="127">
        <v>2</v>
      </c>
      <c r="G29" s="126" t="s">
        <v>68</v>
      </c>
      <c r="H29" s="126" t="s">
        <v>139</v>
      </c>
      <c r="I29" s="127">
        <v>120</v>
      </c>
      <c r="J29" s="97">
        <v>11535836.34</v>
      </c>
      <c r="K29" s="97">
        <v>11997237.439999999</v>
      </c>
    </row>
    <row r="30" spans="1:11" ht="78.75" x14ac:dyDescent="0.25">
      <c r="A30" s="45" t="s">
        <v>150</v>
      </c>
      <c r="B30" s="127">
        <v>871</v>
      </c>
      <c r="C30" s="126" t="s">
        <v>65</v>
      </c>
      <c r="D30" s="127" t="s">
        <v>83</v>
      </c>
      <c r="E30" s="126">
        <v>92</v>
      </c>
      <c r="F30" s="127">
        <v>2</v>
      </c>
      <c r="G30" s="126" t="s">
        <v>68</v>
      </c>
      <c r="H30" s="126" t="s">
        <v>142</v>
      </c>
      <c r="I30" s="127"/>
      <c r="J30" s="97">
        <f>SUM(J31:J32)</f>
        <v>1377540</v>
      </c>
      <c r="K30" s="97">
        <f>SUM(K31:K32)</f>
        <v>1423241.56</v>
      </c>
    </row>
    <row r="31" spans="1:11" ht="47.25" x14ac:dyDescent="0.25">
      <c r="A31" s="45" t="s">
        <v>75</v>
      </c>
      <c r="B31" s="127">
        <v>871</v>
      </c>
      <c r="C31" s="126" t="s">
        <v>65</v>
      </c>
      <c r="D31" s="127" t="s">
        <v>83</v>
      </c>
      <c r="E31" s="126">
        <v>92</v>
      </c>
      <c r="F31" s="127">
        <v>2</v>
      </c>
      <c r="G31" s="126" t="s">
        <v>68</v>
      </c>
      <c r="H31" s="126" t="s">
        <v>142</v>
      </c>
      <c r="I31" s="127">
        <v>240</v>
      </c>
      <c r="J31" s="97">
        <f>1355040+8500</f>
        <v>1363540</v>
      </c>
      <c r="K31" s="97">
        <v>1409241.56</v>
      </c>
    </row>
    <row r="32" spans="1:11" x14ac:dyDescent="0.25">
      <c r="A32" s="45" t="s">
        <v>77</v>
      </c>
      <c r="B32" s="127">
        <v>871</v>
      </c>
      <c r="C32" s="126" t="s">
        <v>65</v>
      </c>
      <c r="D32" s="127" t="s">
        <v>83</v>
      </c>
      <c r="E32" s="126">
        <v>92</v>
      </c>
      <c r="F32" s="127">
        <v>2</v>
      </c>
      <c r="G32" s="126" t="s">
        <v>68</v>
      </c>
      <c r="H32" s="126" t="s">
        <v>142</v>
      </c>
      <c r="I32" s="127">
        <v>850</v>
      </c>
      <c r="J32" s="97">
        <v>14000</v>
      </c>
      <c r="K32" s="97">
        <v>14000</v>
      </c>
    </row>
    <row r="33" spans="1:11" ht="15.75" customHeight="1" x14ac:dyDescent="0.25">
      <c r="A33" s="45" t="s">
        <v>151</v>
      </c>
      <c r="B33" s="127">
        <v>871</v>
      </c>
      <c r="C33" s="126" t="s">
        <v>65</v>
      </c>
      <c r="D33" s="127" t="s">
        <v>83</v>
      </c>
      <c r="E33" s="126">
        <v>97</v>
      </c>
      <c r="F33" s="127">
        <v>0</v>
      </c>
      <c r="G33" s="126" t="s">
        <v>68</v>
      </c>
      <c r="H33" s="126" t="s">
        <v>69</v>
      </c>
      <c r="I33" s="127"/>
      <c r="J33" s="97">
        <f>J34</f>
        <v>925500</v>
      </c>
      <c r="K33" s="97">
        <f>K34</f>
        <v>0</v>
      </c>
    </row>
    <row r="34" spans="1:11" ht="78.75" customHeight="1" x14ac:dyDescent="0.25">
      <c r="A34" s="45" t="s">
        <v>152</v>
      </c>
      <c r="B34" s="127">
        <v>871</v>
      </c>
      <c r="C34" s="126" t="s">
        <v>65</v>
      </c>
      <c r="D34" s="127" t="s">
        <v>83</v>
      </c>
      <c r="E34" s="126">
        <v>97</v>
      </c>
      <c r="F34" s="127">
        <v>2</v>
      </c>
      <c r="G34" s="126" t="s">
        <v>68</v>
      </c>
      <c r="H34" s="126" t="s">
        <v>69</v>
      </c>
      <c r="I34" s="127"/>
      <c r="J34" s="97">
        <f>J35+J37+J39+J41</f>
        <v>925500</v>
      </c>
      <c r="K34" s="97">
        <f>K35+K37+K39+K41</f>
        <v>0</v>
      </c>
    </row>
    <row r="35" spans="1:11" ht="409.5" customHeight="1" x14ac:dyDescent="0.25">
      <c r="A35" s="45" t="s">
        <v>484</v>
      </c>
      <c r="B35" s="126" t="s">
        <v>54</v>
      </c>
      <c r="C35" s="126" t="s">
        <v>65</v>
      </c>
      <c r="D35" s="126" t="s">
        <v>83</v>
      </c>
      <c r="E35" s="126" t="s">
        <v>154</v>
      </c>
      <c r="F35" s="127">
        <v>2</v>
      </c>
      <c r="G35" s="126" t="s">
        <v>68</v>
      </c>
      <c r="H35" s="126" t="s">
        <v>155</v>
      </c>
      <c r="I35" s="127"/>
      <c r="J35" s="97">
        <f>J36</f>
        <v>447500</v>
      </c>
      <c r="K35" s="97">
        <f>K36</f>
        <v>0</v>
      </c>
    </row>
    <row r="36" spans="1:11" ht="15.75" customHeight="1" x14ac:dyDescent="0.25">
      <c r="A36" s="48" t="s">
        <v>157</v>
      </c>
      <c r="B36" s="126" t="s">
        <v>54</v>
      </c>
      <c r="C36" s="126" t="s">
        <v>65</v>
      </c>
      <c r="D36" s="126" t="s">
        <v>83</v>
      </c>
      <c r="E36" s="126" t="s">
        <v>154</v>
      </c>
      <c r="F36" s="127">
        <v>2</v>
      </c>
      <c r="G36" s="126" t="s">
        <v>68</v>
      </c>
      <c r="H36" s="126" t="s">
        <v>155</v>
      </c>
      <c r="I36" s="127">
        <v>500</v>
      </c>
      <c r="J36" s="97">
        <f>449800-2300</f>
        <v>447500</v>
      </c>
      <c r="K36" s="97">
        <v>0</v>
      </c>
    </row>
    <row r="37" spans="1:11" ht="63" customHeight="1" x14ac:dyDescent="0.25">
      <c r="A37" s="45" t="s">
        <v>158</v>
      </c>
      <c r="B37" s="127">
        <v>871</v>
      </c>
      <c r="C37" s="126" t="s">
        <v>65</v>
      </c>
      <c r="D37" s="127" t="s">
        <v>83</v>
      </c>
      <c r="E37" s="126">
        <v>97</v>
      </c>
      <c r="F37" s="127">
        <v>2</v>
      </c>
      <c r="G37" s="126" t="s">
        <v>68</v>
      </c>
      <c r="H37" s="126" t="s">
        <v>159</v>
      </c>
      <c r="I37" s="127"/>
      <c r="J37" s="97">
        <f>J38</f>
        <v>141200</v>
      </c>
      <c r="K37" s="97">
        <f>K38</f>
        <v>0</v>
      </c>
    </row>
    <row r="38" spans="1:11" ht="15.75" customHeight="1" x14ac:dyDescent="0.25">
      <c r="A38" s="48" t="s">
        <v>157</v>
      </c>
      <c r="B38" s="127">
        <v>871</v>
      </c>
      <c r="C38" s="126" t="s">
        <v>65</v>
      </c>
      <c r="D38" s="127" t="s">
        <v>83</v>
      </c>
      <c r="E38" s="126">
        <v>97</v>
      </c>
      <c r="F38" s="127">
        <v>2</v>
      </c>
      <c r="G38" s="126" t="s">
        <v>68</v>
      </c>
      <c r="H38" s="126" t="s">
        <v>159</v>
      </c>
      <c r="I38" s="127">
        <v>500</v>
      </c>
      <c r="J38" s="97">
        <f>142000-800</f>
        <v>141200</v>
      </c>
      <c r="K38" s="97">
        <v>0</v>
      </c>
    </row>
    <row r="39" spans="1:11" ht="63" customHeight="1" x14ac:dyDescent="0.25">
      <c r="A39" s="45" t="s">
        <v>160</v>
      </c>
      <c r="B39" s="127">
        <v>871</v>
      </c>
      <c r="C39" s="126" t="s">
        <v>65</v>
      </c>
      <c r="D39" s="127" t="s">
        <v>83</v>
      </c>
      <c r="E39" s="126">
        <v>97</v>
      </c>
      <c r="F39" s="127">
        <v>2</v>
      </c>
      <c r="G39" s="126" t="s">
        <v>68</v>
      </c>
      <c r="H39" s="126" t="s">
        <v>161</v>
      </c>
      <c r="I39" s="127"/>
      <c r="J39" s="97">
        <f>J40</f>
        <v>122200</v>
      </c>
      <c r="K39" s="97">
        <f>K40</f>
        <v>0</v>
      </c>
    </row>
    <row r="40" spans="1:11" ht="15.75" customHeight="1" x14ac:dyDescent="0.25">
      <c r="A40" s="48" t="s">
        <v>157</v>
      </c>
      <c r="B40" s="127">
        <v>871</v>
      </c>
      <c r="C40" s="126" t="s">
        <v>65</v>
      </c>
      <c r="D40" s="127" t="s">
        <v>83</v>
      </c>
      <c r="E40" s="126">
        <v>97</v>
      </c>
      <c r="F40" s="127">
        <v>2</v>
      </c>
      <c r="G40" s="126" t="s">
        <v>68</v>
      </c>
      <c r="H40" s="126" t="s">
        <v>161</v>
      </c>
      <c r="I40" s="127">
        <v>500</v>
      </c>
      <c r="J40" s="97">
        <f>122900-700</f>
        <v>122200</v>
      </c>
      <c r="K40" s="97">
        <v>0</v>
      </c>
    </row>
    <row r="41" spans="1:11" ht="78.75" customHeight="1" x14ac:dyDescent="0.25">
      <c r="A41" s="45" t="s">
        <v>162</v>
      </c>
      <c r="B41" s="127">
        <v>871</v>
      </c>
      <c r="C41" s="126" t="s">
        <v>65</v>
      </c>
      <c r="D41" s="127" t="s">
        <v>83</v>
      </c>
      <c r="E41" s="126">
        <v>97</v>
      </c>
      <c r="F41" s="127">
        <v>2</v>
      </c>
      <c r="G41" s="126" t="s">
        <v>68</v>
      </c>
      <c r="H41" s="126" t="s">
        <v>163</v>
      </c>
      <c r="I41" s="127"/>
      <c r="J41" s="97">
        <f>J42</f>
        <v>214600</v>
      </c>
      <c r="K41" s="97">
        <f>K42</f>
        <v>0</v>
      </c>
    </row>
    <row r="42" spans="1:11" ht="15.75" customHeight="1" x14ac:dyDescent="0.25">
      <c r="A42" s="48" t="s">
        <v>157</v>
      </c>
      <c r="B42" s="127">
        <v>871</v>
      </c>
      <c r="C42" s="126" t="s">
        <v>65</v>
      </c>
      <c r="D42" s="127" t="s">
        <v>83</v>
      </c>
      <c r="E42" s="126">
        <v>97</v>
      </c>
      <c r="F42" s="127">
        <v>2</v>
      </c>
      <c r="G42" s="126" t="s">
        <v>68</v>
      </c>
      <c r="H42" s="126" t="s">
        <v>163</v>
      </c>
      <c r="I42" s="127">
        <v>500</v>
      </c>
      <c r="J42" s="97">
        <f>216000-1400</f>
        <v>214600</v>
      </c>
      <c r="K42" s="97">
        <v>0</v>
      </c>
    </row>
    <row r="43" spans="1:11" ht="47.25" customHeight="1" x14ac:dyDescent="0.25">
      <c r="A43" s="45" t="s">
        <v>85</v>
      </c>
      <c r="B43" s="126">
        <v>871</v>
      </c>
      <c r="C43" s="126" t="s">
        <v>65</v>
      </c>
      <c r="D43" s="126" t="s">
        <v>86</v>
      </c>
      <c r="E43" s="126"/>
      <c r="F43" s="126"/>
      <c r="G43" s="126"/>
      <c r="H43" s="126"/>
      <c r="I43" s="126"/>
      <c r="J43" s="97">
        <f>J44</f>
        <v>580800</v>
      </c>
      <c r="K43" s="97">
        <f t="shared" ref="J43:K46" si="0">K44</f>
        <v>0</v>
      </c>
    </row>
    <row r="44" spans="1:11" ht="15.75" customHeight="1" x14ac:dyDescent="0.25">
      <c r="A44" s="45" t="s">
        <v>157</v>
      </c>
      <c r="B44" s="126" t="s">
        <v>54</v>
      </c>
      <c r="C44" s="126" t="s">
        <v>65</v>
      </c>
      <c r="D44" s="126" t="s">
        <v>86</v>
      </c>
      <c r="E44" s="126" t="s">
        <v>154</v>
      </c>
      <c r="F44" s="126" t="s">
        <v>67</v>
      </c>
      <c r="G44" s="126" t="s">
        <v>68</v>
      </c>
      <c r="H44" s="126" t="s">
        <v>69</v>
      </c>
      <c r="I44" s="126"/>
      <c r="J44" s="97">
        <f>J45</f>
        <v>580800</v>
      </c>
      <c r="K44" s="97">
        <v>0</v>
      </c>
    </row>
    <row r="45" spans="1:11" ht="78.75" customHeight="1" x14ac:dyDescent="0.25">
      <c r="A45" s="45" t="s">
        <v>152</v>
      </c>
      <c r="B45" s="126" t="s">
        <v>54</v>
      </c>
      <c r="C45" s="126" t="s">
        <v>65</v>
      </c>
      <c r="D45" s="126" t="s">
        <v>86</v>
      </c>
      <c r="E45" s="126" t="s">
        <v>154</v>
      </c>
      <c r="F45" s="126" t="s">
        <v>73</v>
      </c>
      <c r="G45" s="126" t="s">
        <v>68</v>
      </c>
      <c r="H45" s="126" t="s">
        <v>69</v>
      </c>
      <c r="I45" s="126"/>
      <c r="J45" s="97">
        <f t="shared" si="0"/>
        <v>580800</v>
      </c>
      <c r="K45" s="97">
        <f t="shared" si="0"/>
        <v>0</v>
      </c>
    </row>
    <row r="46" spans="1:11" ht="47.25" customHeight="1" x14ac:dyDescent="0.25">
      <c r="A46" s="45" t="s">
        <v>164</v>
      </c>
      <c r="B46" s="127">
        <v>871</v>
      </c>
      <c r="C46" s="126" t="s">
        <v>65</v>
      </c>
      <c r="D46" s="126" t="s">
        <v>86</v>
      </c>
      <c r="E46" s="126">
        <v>97</v>
      </c>
      <c r="F46" s="127">
        <v>2</v>
      </c>
      <c r="G46" s="126" t="s">
        <v>68</v>
      </c>
      <c r="H46" s="126" t="s">
        <v>165</v>
      </c>
      <c r="I46" s="127"/>
      <c r="J46" s="97">
        <f t="shared" si="0"/>
        <v>580800</v>
      </c>
      <c r="K46" s="97">
        <f t="shared" si="0"/>
        <v>0</v>
      </c>
    </row>
    <row r="47" spans="1:11" ht="15.75" customHeight="1" x14ac:dyDescent="0.25">
      <c r="A47" s="48" t="s">
        <v>157</v>
      </c>
      <c r="B47" s="127">
        <v>871</v>
      </c>
      <c r="C47" s="126" t="s">
        <v>65</v>
      </c>
      <c r="D47" s="126" t="s">
        <v>86</v>
      </c>
      <c r="E47" s="126">
        <v>97</v>
      </c>
      <c r="F47" s="127">
        <v>2</v>
      </c>
      <c r="G47" s="126" t="s">
        <v>68</v>
      </c>
      <c r="H47" s="126" t="s">
        <v>165</v>
      </c>
      <c r="I47" s="127">
        <v>500</v>
      </c>
      <c r="J47" s="97">
        <f>584100-3300</f>
        <v>580800</v>
      </c>
      <c r="K47" s="97">
        <v>0</v>
      </c>
    </row>
    <row r="48" spans="1:11" x14ac:dyDescent="0.25">
      <c r="A48" s="44" t="s">
        <v>93</v>
      </c>
      <c r="B48" s="127">
        <v>871</v>
      </c>
      <c r="C48" s="126" t="s">
        <v>65</v>
      </c>
      <c r="D48" s="127">
        <v>11</v>
      </c>
      <c r="E48" s="126"/>
      <c r="F48" s="127"/>
      <c r="G48" s="126"/>
      <c r="H48" s="126"/>
      <c r="I48" s="127" t="s">
        <v>135</v>
      </c>
      <c r="J48" s="96">
        <f t="shared" ref="J48:K51" si="1">J49</f>
        <v>4957000</v>
      </c>
      <c r="K48" s="96">
        <f t="shared" si="1"/>
        <v>5166000</v>
      </c>
    </row>
    <row r="49" spans="1:11" x14ac:dyDescent="0.25">
      <c r="A49" s="44" t="s">
        <v>93</v>
      </c>
      <c r="B49" s="127">
        <v>871</v>
      </c>
      <c r="C49" s="126" t="s">
        <v>65</v>
      </c>
      <c r="D49" s="127">
        <v>11</v>
      </c>
      <c r="E49" s="126">
        <v>94</v>
      </c>
      <c r="F49" s="127">
        <v>0</v>
      </c>
      <c r="G49" s="126" t="s">
        <v>68</v>
      </c>
      <c r="H49" s="126" t="s">
        <v>69</v>
      </c>
      <c r="I49" s="127"/>
      <c r="J49" s="96">
        <f t="shared" si="1"/>
        <v>4957000</v>
      </c>
      <c r="K49" s="96">
        <f t="shared" si="1"/>
        <v>5166000</v>
      </c>
    </row>
    <row r="50" spans="1:11" x14ac:dyDescent="0.25">
      <c r="A50" s="44" t="s">
        <v>169</v>
      </c>
      <c r="B50" s="127">
        <v>871</v>
      </c>
      <c r="C50" s="126" t="s">
        <v>65</v>
      </c>
      <c r="D50" s="127">
        <v>11</v>
      </c>
      <c r="E50" s="126">
        <v>94</v>
      </c>
      <c r="F50" s="127">
        <v>1</v>
      </c>
      <c r="G50" s="126" t="s">
        <v>68</v>
      </c>
      <c r="H50" s="126" t="s">
        <v>69</v>
      </c>
      <c r="I50" s="127" t="s">
        <v>135</v>
      </c>
      <c r="J50" s="96">
        <f t="shared" si="1"/>
        <v>4957000</v>
      </c>
      <c r="K50" s="96">
        <f t="shared" si="1"/>
        <v>5166000</v>
      </c>
    </row>
    <row r="51" spans="1:11" x14ac:dyDescent="0.25">
      <c r="A51" s="44" t="s">
        <v>169</v>
      </c>
      <c r="B51" s="127">
        <v>871</v>
      </c>
      <c r="C51" s="126" t="s">
        <v>65</v>
      </c>
      <c r="D51" s="127">
        <v>11</v>
      </c>
      <c r="E51" s="126">
        <v>94</v>
      </c>
      <c r="F51" s="127">
        <v>1</v>
      </c>
      <c r="G51" s="126" t="s">
        <v>68</v>
      </c>
      <c r="H51" s="126" t="s">
        <v>170</v>
      </c>
      <c r="I51" s="127"/>
      <c r="J51" s="96">
        <f t="shared" si="1"/>
        <v>4957000</v>
      </c>
      <c r="K51" s="96">
        <f t="shared" si="1"/>
        <v>5166000</v>
      </c>
    </row>
    <row r="52" spans="1:11" x14ac:dyDescent="0.25">
      <c r="A52" s="44" t="s">
        <v>95</v>
      </c>
      <c r="B52" s="127">
        <v>871</v>
      </c>
      <c r="C52" s="126" t="s">
        <v>65</v>
      </c>
      <c r="D52" s="127">
        <v>11</v>
      </c>
      <c r="E52" s="126">
        <v>94</v>
      </c>
      <c r="F52" s="127">
        <v>1</v>
      </c>
      <c r="G52" s="126" t="s">
        <v>68</v>
      </c>
      <c r="H52" s="126" t="s">
        <v>170</v>
      </c>
      <c r="I52" s="126" t="s">
        <v>96</v>
      </c>
      <c r="J52" s="96">
        <v>4957000</v>
      </c>
      <c r="K52" s="96">
        <v>5166000</v>
      </c>
    </row>
    <row r="53" spans="1:11" x14ac:dyDescent="0.25">
      <c r="A53" s="44" t="s">
        <v>98</v>
      </c>
      <c r="B53" s="127">
        <v>871</v>
      </c>
      <c r="C53" s="126" t="s">
        <v>65</v>
      </c>
      <c r="D53" s="127">
        <v>13</v>
      </c>
      <c r="E53" s="126"/>
      <c r="F53" s="127"/>
      <c r="G53" s="126"/>
      <c r="H53" s="126"/>
      <c r="I53" s="127"/>
      <c r="J53" s="97">
        <f>J54+J65+J82+J88+J92+J99+J103</f>
        <v>4704444.5900000008</v>
      </c>
      <c r="K53" s="97">
        <f>K54+K65+K82+K88+K92+K99+K103</f>
        <v>4734513.6800000006</v>
      </c>
    </row>
    <row r="54" spans="1:11" ht="63" x14ac:dyDescent="0.25">
      <c r="A54" s="44" t="s">
        <v>171</v>
      </c>
      <c r="B54" s="127">
        <v>871</v>
      </c>
      <c r="C54" s="126" t="s">
        <v>65</v>
      </c>
      <c r="D54" s="127">
        <v>13</v>
      </c>
      <c r="E54" s="126" t="s">
        <v>65</v>
      </c>
      <c r="F54" s="127">
        <v>0</v>
      </c>
      <c r="G54" s="126" t="s">
        <v>68</v>
      </c>
      <c r="H54" s="126" t="s">
        <v>69</v>
      </c>
      <c r="I54" s="127"/>
      <c r="J54" s="97">
        <f>J55+J62</f>
        <v>2269684.31</v>
      </c>
      <c r="K54" s="97">
        <f>K55+K62</f>
        <v>2293137.2200000002</v>
      </c>
    </row>
    <row r="55" spans="1:11" x14ac:dyDescent="0.25">
      <c r="A55" s="44" t="s">
        <v>172</v>
      </c>
      <c r="B55" s="127">
        <v>871</v>
      </c>
      <c r="C55" s="126" t="s">
        <v>65</v>
      </c>
      <c r="D55" s="127">
        <v>13</v>
      </c>
      <c r="E55" s="126" t="s">
        <v>65</v>
      </c>
      <c r="F55" s="127">
        <v>1</v>
      </c>
      <c r="G55" s="126" t="s">
        <v>68</v>
      </c>
      <c r="H55" s="126" t="s">
        <v>69</v>
      </c>
      <c r="I55" s="127"/>
      <c r="J55" s="97">
        <f>J56+J58+J60</f>
        <v>2049684.31</v>
      </c>
      <c r="K55" s="97">
        <f>K56+K58+K60</f>
        <v>2073137.2200000002</v>
      </c>
    </row>
    <row r="56" spans="1:11" x14ac:dyDescent="0.25">
      <c r="A56" s="45" t="s">
        <v>173</v>
      </c>
      <c r="B56" s="127">
        <v>871</v>
      </c>
      <c r="C56" s="126" t="s">
        <v>65</v>
      </c>
      <c r="D56" s="127">
        <v>13</v>
      </c>
      <c r="E56" s="126" t="s">
        <v>65</v>
      </c>
      <c r="F56" s="127">
        <v>1</v>
      </c>
      <c r="G56" s="126" t="s">
        <v>68</v>
      </c>
      <c r="H56" s="126" t="s">
        <v>174</v>
      </c>
      <c r="I56" s="127"/>
      <c r="J56" s="97">
        <f>J57</f>
        <v>1610553.57</v>
      </c>
      <c r="K56" s="97">
        <f>K57</f>
        <v>1629223.86</v>
      </c>
    </row>
    <row r="57" spans="1:11" ht="47.25" x14ac:dyDescent="0.25">
      <c r="A57" s="45" t="s">
        <v>75</v>
      </c>
      <c r="B57" s="127">
        <v>871</v>
      </c>
      <c r="C57" s="126" t="s">
        <v>65</v>
      </c>
      <c r="D57" s="127">
        <v>13</v>
      </c>
      <c r="E57" s="126" t="s">
        <v>65</v>
      </c>
      <c r="F57" s="127">
        <v>1</v>
      </c>
      <c r="G57" s="126" t="s">
        <v>68</v>
      </c>
      <c r="H57" s="126" t="s">
        <v>174</v>
      </c>
      <c r="I57" s="127">
        <v>240</v>
      </c>
      <c r="J57" s="97">
        <f>1721293.85-110740.28</f>
        <v>1610553.57</v>
      </c>
      <c r="K57" s="97">
        <f>1744190.32-114966.46</f>
        <v>1629223.86</v>
      </c>
    </row>
    <row r="58" spans="1:11" ht="31.5" x14ac:dyDescent="0.25">
      <c r="A58" s="45" t="s">
        <v>175</v>
      </c>
      <c r="B58" s="127">
        <v>871</v>
      </c>
      <c r="C58" s="126" t="s">
        <v>65</v>
      </c>
      <c r="D58" s="127">
        <v>13</v>
      </c>
      <c r="E58" s="126" t="s">
        <v>65</v>
      </c>
      <c r="F58" s="127">
        <v>1</v>
      </c>
      <c r="G58" s="126" t="s">
        <v>68</v>
      </c>
      <c r="H58" s="126" t="s">
        <v>176</v>
      </c>
      <c r="I58" s="127"/>
      <c r="J58" s="97">
        <f>J59</f>
        <v>200000</v>
      </c>
      <c r="K58" s="97">
        <f>K59</f>
        <v>200000</v>
      </c>
    </row>
    <row r="59" spans="1:11" ht="47.25" x14ac:dyDescent="0.25">
      <c r="A59" s="45" t="s">
        <v>75</v>
      </c>
      <c r="B59" s="127">
        <v>871</v>
      </c>
      <c r="C59" s="126" t="s">
        <v>65</v>
      </c>
      <c r="D59" s="127">
        <v>13</v>
      </c>
      <c r="E59" s="126" t="s">
        <v>65</v>
      </c>
      <c r="F59" s="127">
        <v>1</v>
      </c>
      <c r="G59" s="126" t="s">
        <v>68</v>
      </c>
      <c r="H59" s="126" t="s">
        <v>176</v>
      </c>
      <c r="I59" s="127">
        <v>240</v>
      </c>
      <c r="J59" s="97">
        <v>200000</v>
      </c>
      <c r="K59" s="97">
        <v>200000</v>
      </c>
    </row>
    <row r="60" spans="1:11" x14ac:dyDescent="0.25">
      <c r="A60" s="45" t="s">
        <v>177</v>
      </c>
      <c r="B60" s="127">
        <v>871</v>
      </c>
      <c r="C60" s="126" t="s">
        <v>65</v>
      </c>
      <c r="D60" s="127">
        <v>13</v>
      </c>
      <c r="E60" s="126" t="s">
        <v>65</v>
      </c>
      <c r="F60" s="127">
        <v>1</v>
      </c>
      <c r="G60" s="126" t="s">
        <v>68</v>
      </c>
      <c r="H60" s="126" t="s">
        <v>178</v>
      </c>
      <c r="I60" s="127"/>
      <c r="J60" s="97">
        <f>J61</f>
        <v>239130.74</v>
      </c>
      <c r="K60" s="97">
        <f>K61</f>
        <v>243913.36</v>
      </c>
    </row>
    <row r="61" spans="1:11" ht="47.25" x14ac:dyDescent="0.25">
      <c r="A61" s="45" t="s">
        <v>75</v>
      </c>
      <c r="B61" s="127">
        <v>871</v>
      </c>
      <c r="C61" s="126" t="s">
        <v>65</v>
      </c>
      <c r="D61" s="127">
        <v>13</v>
      </c>
      <c r="E61" s="126" t="s">
        <v>65</v>
      </c>
      <c r="F61" s="127">
        <v>1</v>
      </c>
      <c r="G61" s="126" t="s">
        <v>68</v>
      </c>
      <c r="H61" s="126" t="s">
        <v>178</v>
      </c>
      <c r="I61" s="127">
        <v>240</v>
      </c>
      <c r="J61" s="97">
        <v>239130.74</v>
      </c>
      <c r="K61" s="97">
        <v>243913.36</v>
      </c>
    </row>
    <row r="62" spans="1:11" ht="47.25" x14ac:dyDescent="0.25">
      <c r="A62" s="45" t="s">
        <v>179</v>
      </c>
      <c r="B62" s="127">
        <v>871</v>
      </c>
      <c r="C62" s="126" t="s">
        <v>65</v>
      </c>
      <c r="D62" s="127">
        <v>13</v>
      </c>
      <c r="E62" s="126" t="s">
        <v>65</v>
      </c>
      <c r="F62" s="127">
        <v>2</v>
      </c>
      <c r="G62" s="126" t="s">
        <v>68</v>
      </c>
      <c r="H62" s="126" t="s">
        <v>69</v>
      </c>
      <c r="I62" s="127"/>
      <c r="J62" s="97">
        <f>J63</f>
        <v>220000</v>
      </c>
      <c r="K62" s="97">
        <f>K63</f>
        <v>220000</v>
      </c>
    </row>
    <row r="63" spans="1:11" ht="31.5" x14ac:dyDescent="0.25">
      <c r="A63" s="45" t="s">
        <v>180</v>
      </c>
      <c r="B63" s="127">
        <v>871</v>
      </c>
      <c r="C63" s="126" t="s">
        <v>65</v>
      </c>
      <c r="D63" s="127">
        <v>13</v>
      </c>
      <c r="E63" s="126" t="s">
        <v>65</v>
      </c>
      <c r="F63" s="127">
        <v>2</v>
      </c>
      <c r="G63" s="126" t="s">
        <v>68</v>
      </c>
      <c r="H63" s="126" t="s">
        <v>181</v>
      </c>
      <c r="I63" s="127"/>
      <c r="J63" s="97">
        <f>J64</f>
        <v>220000</v>
      </c>
      <c r="K63" s="97">
        <f>K64</f>
        <v>220000</v>
      </c>
    </row>
    <row r="64" spans="1:11" ht="47.25" x14ac:dyDescent="0.25">
      <c r="A64" s="45" t="s">
        <v>75</v>
      </c>
      <c r="B64" s="127">
        <v>871</v>
      </c>
      <c r="C64" s="126" t="s">
        <v>65</v>
      </c>
      <c r="D64" s="127">
        <v>13</v>
      </c>
      <c r="E64" s="126" t="s">
        <v>65</v>
      </c>
      <c r="F64" s="127">
        <v>2</v>
      </c>
      <c r="G64" s="126" t="s">
        <v>68</v>
      </c>
      <c r="H64" s="126" t="s">
        <v>181</v>
      </c>
      <c r="I64" s="127">
        <v>240</v>
      </c>
      <c r="J64" s="97">
        <v>220000</v>
      </c>
      <c r="K64" s="97">
        <v>220000</v>
      </c>
    </row>
    <row r="65" spans="1:11" ht="63" x14ac:dyDescent="0.25">
      <c r="A65" s="44" t="s">
        <v>182</v>
      </c>
      <c r="B65" s="127">
        <v>871</v>
      </c>
      <c r="C65" s="126" t="s">
        <v>65</v>
      </c>
      <c r="D65" s="127">
        <v>13</v>
      </c>
      <c r="E65" s="126" t="s">
        <v>88</v>
      </c>
      <c r="F65" s="127">
        <v>0</v>
      </c>
      <c r="G65" s="126" t="s">
        <v>68</v>
      </c>
      <c r="H65" s="126" t="s">
        <v>69</v>
      </c>
      <c r="I65" s="127"/>
      <c r="J65" s="97">
        <f>J66</f>
        <v>1143020</v>
      </c>
      <c r="K65" s="97">
        <f>K66</f>
        <v>1145410</v>
      </c>
    </row>
    <row r="66" spans="1:11" ht="47.25" x14ac:dyDescent="0.25">
      <c r="A66" s="44" t="s">
        <v>183</v>
      </c>
      <c r="B66" s="127">
        <v>871</v>
      </c>
      <c r="C66" s="126" t="s">
        <v>65</v>
      </c>
      <c r="D66" s="127">
        <v>13</v>
      </c>
      <c r="E66" s="126" t="s">
        <v>88</v>
      </c>
      <c r="F66" s="127">
        <v>1</v>
      </c>
      <c r="G66" s="126" t="s">
        <v>68</v>
      </c>
      <c r="H66" s="126" t="s">
        <v>69</v>
      </c>
      <c r="I66" s="127"/>
      <c r="J66" s="97">
        <f>J67+J70+J73+J76+J79</f>
        <v>1143020</v>
      </c>
      <c r="K66" s="97">
        <f>K67+K70+K73+K76+K79</f>
        <v>1145410</v>
      </c>
    </row>
    <row r="67" spans="1:11" x14ac:dyDescent="0.25">
      <c r="A67" s="44" t="s">
        <v>184</v>
      </c>
      <c r="B67" s="127">
        <v>871</v>
      </c>
      <c r="C67" s="126" t="s">
        <v>65</v>
      </c>
      <c r="D67" s="127">
        <v>13</v>
      </c>
      <c r="E67" s="126" t="s">
        <v>88</v>
      </c>
      <c r="F67" s="127">
        <v>1</v>
      </c>
      <c r="G67" s="126" t="s">
        <v>65</v>
      </c>
      <c r="H67" s="126" t="s">
        <v>69</v>
      </c>
      <c r="I67" s="127"/>
      <c r="J67" s="97">
        <f>J68</f>
        <v>100000</v>
      </c>
      <c r="K67" s="97">
        <f>K68</f>
        <v>100000</v>
      </c>
    </row>
    <row r="68" spans="1:11" ht="47.25" x14ac:dyDescent="0.25">
      <c r="A68" s="45" t="s">
        <v>185</v>
      </c>
      <c r="B68" s="127">
        <v>871</v>
      </c>
      <c r="C68" s="126" t="s">
        <v>65</v>
      </c>
      <c r="D68" s="126" t="s">
        <v>99</v>
      </c>
      <c r="E68" s="126" t="s">
        <v>88</v>
      </c>
      <c r="F68" s="126" t="s">
        <v>70</v>
      </c>
      <c r="G68" s="126" t="s">
        <v>65</v>
      </c>
      <c r="H68" s="126" t="s">
        <v>186</v>
      </c>
      <c r="I68" s="126"/>
      <c r="J68" s="97">
        <f>J69</f>
        <v>100000</v>
      </c>
      <c r="K68" s="97">
        <f>K69</f>
        <v>100000</v>
      </c>
    </row>
    <row r="69" spans="1:11" ht="47.25" x14ac:dyDescent="0.25">
      <c r="A69" s="45" t="s">
        <v>75</v>
      </c>
      <c r="B69" s="127">
        <v>871</v>
      </c>
      <c r="C69" s="126" t="s">
        <v>65</v>
      </c>
      <c r="D69" s="126" t="s">
        <v>99</v>
      </c>
      <c r="E69" s="126" t="s">
        <v>88</v>
      </c>
      <c r="F69" s="126" t="s">
        <v>70</v>
      </c>
      <c r="G69" s="126" t="s">
        <v>65</v>
      </c>
      <c r="H69" s="126" t="s">
        <v>186</v>
      </c>
      <c r="I69" s="126" t="s">
        <v>76</v>
      </c>
      <c r="J69" s="97">
        <v>100000</v>
      </c>
      <c r="K69" s="97">
        <v>100000</v>
      </c>
    </row>
    <row r="70" spans="1:11" ht="31.5" x14ac:dyDescent="0.25">
      <c r="A70" s="44" t="s">
        <v>187</v>
      </c>
      <c r="B70" s="127">
        <v>871</v>
      </c>
      <c r="C70" s="126" t="s">
        <v>65</v>
      </c>
      <c r="D70" s="127">
        <v>13</v>
      </c>
      <c r="E70" s="126" t="s">
        <v>88</v>
      </c>
      <c r="F70" s="127">
        <v>1</v>
      </c>
      <c r="G70" s="126" t="s">
        <v>66</v>
      </c>
      <c r="H70" s="126" t="s">
        <v>69</v>
      </c>
      <c r="I70" s="127"/>
      <c r="J70" s="97">
        <f>J71</f>
        <v>40000</v>
      </c>
      <c r="K70" s="97">
        <f>K71</f>
        <v>40000</v>
      </c>
    </row>
    <row r="71" spans="1:11" ht="47.25" x14ac:dyDescent="0.25">
      <c r="A71" s="45" t="s">
        <v>185</v>
      </c>
      <c r="B71" s="127">
        <v>871</v>
      </c>
      <c r="C71" s="126" t="s">
        <v>65</v>
      </c>
      <c r="D71" s="126" t="s">
        <v>99</v>
      </c>
      <c r="E71" s="126" t="s">
        <v>88</v>
      </c>
      <c r="F71" s="126" t="s">
        <v>70</v>
      </c>
      <c r="G71" s="126" t="s">
        <v>66</v>
      </c>
      <c r="H71" s="126" t="s">
        <v>186</v>
      </c>
      <c r="I71" s="126"/>
      <c r="J71" s="97">
        <f>J72</f>
        <v>40000</v>
      </c>
      <c r="K71" s="97">
        <f>K72</f>
        <v>40000</v>
      </c>
    </row>
    <row r="72" spans="1:11" ht="47.25" x14ac:dyDescent="0.25">
      <c r="A72" s="45" t="s">
        <v>75</v>
      </c>
      <c r="B72" s="127">
        <v>871</v>
      </c>
      <c r="C72" s="126" t="s">
        <v>65</v>
      </c>
      <c r="D72" s="126" t="s">
        <v>99</v>
      </c>
      <c r="E72" s="126" t="s">
        <v>88</v>
      </c>
      <c r="F72" s="126" t="s">
        <v>70</v>
      </c>
      <c r="G72" s="126" t="s">
        <v>66</v>
      </c>
      <c r="H72" s="126" t="s">
        <v>186</v>
      </c>
      <c r="I72" s="126" t="s">
        <v>76</v>
      </c>
      <c r="J72" s="97">
        <v>40000</v>
      </c>
      <c r="K72" s="97">
        <v>40000</v>
      </c>
    </row>
    <row r="73" spans="1:11" ht="31.5" x14ac:dyDescent="0.25">
      <c r="A73" s="44" t="s">
        <v>188</v>
      </c>
      <c r="B73" s="127">
        <v>871</v>
      </c>
      <c r="C73" s="126" t="s">
        <v>65</v>
      </c>
      <c r="D73" s="127">
        <v>13</v>
      </c>
      <c r="E73" s="126" t="s">
        <v>88</v>
      </c>
      <c r="F73" s="127">
        <v>1</v>
      </c>
      <c r="G73" s="126" t="s">
        <v>72</v>
      </c>
      <c r="H73" s="126" t="s">
        <v>69</v>
      </c>
      <c r="I73" s="127"/>
      <c r="J73" s="97">
        <f>J74</f>
        <v>929326</v>
      </c>
      <c r="K73" s="97">
        <f>K74</f>
        <v>926907</v>
      </c>
    </row>
    <row r="74" spans="1:11" ht="47.25" x14ac:dyDescent="0.25">
      <c r="A74" s="45" t="s">
        <v>185</v>
      </c>
      <c r="B74" s="127">
        <v>871</v>
      </c>
      <c r="C74" s="126" t="s">
        <v>65</v>
      </c>
      <c r="D74" s="126" t="s">
        <v>99</v>
      </c>
      <c r="E74" s="126" t="s">
        <v>88</v>
      </c>
      <c r="F74" s="126" t="s">
        <v>70</v>
      </c>
      <c r="G74" s="126" t="s">
        <v>72</v>
      </c>
      <c r="H74" s="126" t="s">
        <v>186</v>
      </c>
      <c r="I74" s="126"/>
      <c r="J74" s="97">
        <f>J75</f>
        <v>929326</v>
      </c>
      <c r="K74" s="97">
        <f>K75</f>
        <v>926907</v>
      </c>
    </row>
    <row r="75" spans="1:11" ht="47.25" x14ac:dyDescent="0.25">
      <c r="A75" s="45" t="s">
        <v>75</v>
      </c>
      <c r="B75" s="127">
        <v>871</v>
      </c>
      <c r="C75" s="126" t="s">
        <v>65</v>
      </c>
      <c r="D75" s="126" t="s">
        <v>99</v>
      </c>
      <c r="E75" s="126" t="s">
        <v>88</v>
      </c>
      <c r="F75" s="126" t="s">
        <v>70</v>
      </c>
      <c r="G75" s="126" t="s">
        <v>72</v>
      </c>
      <c r="H75" s="126" t="s">
        <v>186</v>
      </c>
      <c r="I75" s="126" t="s">
        <v>76</v>
      </c>
      <c r="J75" s="97">
        <v>929326</v>
      </c>
      <c r="K75" s="97">
        <v>926907</v>
      </c>
    </row>
    <row r="76" spans="1:11" x14ac:dyDescent="0.25">
      <c r="A76" s="44" t="s">
        <v>189</v>
      </c>
      <c r="B76" s="127">
        <v>871</v>
      </c>
      <c r="C76" s="126" t="s">
        <v>65</v>
      </c>
      <c r="D76" s="127">
        <v>13</v>
      </c>
      <c r="E76" s="126" t="s">
        <v>88</v>
      </c>
      <c r="F76" s="127">
        <v>1</v>
      </c>
      <c r="G76" s="126" t="s">
        <v>83</v>
      </c>
      <c r="H76" s="126" t="s">
        <v>69</v>
      </c>
      <c r="I76" s="127"/>
      <c r="J76" s="97">
        <f>J77</f>
        <v>68694</v>
      </c>
      <c r="K76" s="97">
        <f>K77</f>
        <v>73503</v>
      </c>
    </row>
    <row r="77" spans="1:11" ht="47.25" x14ac:dyDescent="0.25">
      <c r="A77" s="45" t="s">
        <v>185</v>
      </c>
      <c r="B77" s="127">
        <v>871</v>
      </c>
      <c r="C77" s="126" t="s">
        <v>65</v>
      </c>
      <c r="D77" s="126" t="s">
        <v>99</v>
      </c>
      <c r="E77" s="126" t="s">
        <v>88</v>
      </c>
      <c r="F77" s="126" t="s">
        <v>70</v>
      </c>
      <c r="G77" s="126" t="s">
        <v>83</v>
      </c>
      <c r="H77" s="126" t="s">
        <v>186</v>
      </c>
      <c r="I77" s="126"/>
      <c r="J77" s="97">
        <f>J78</f>
        <v>68694</v>
      </c>
      <c r="K77" s="97">
        <f>K78</f>
        <v>73503</v>
      </c>
    </row>
    <row r="78" spans="1:11" ht="47.25" x14ac:dyDescent="0.25">
      <c r="A78" s="45" t="s">
        <v>75</v>
      </c>
      <c r="B78" s="127">
        <v>871</v>
      </c>
      <c r="C78" s="126" t="s">
        <v>65</v>
      </c>
      <c r="D78" s="126" t="s">
        <v>99</v>
      </c>
      <c r="E78" s="126" t="s">
        <v>88</v>
      </c>
      <c r="F78" s="126" t="s">
        <v>70</v>
      </c>
      <c r="G78" s="126" t="s">
        <v>83</v>
      </c>
      <c r="H78" s="126" t="s">
        <v>186</v>
      </c>
      <c r="I78" s="126" t="s">
        <v>76</v>
      </c>
      <c r="J78" s="97">
        <v>68694</v>
      </c>
      <c r="K78" s="97">
        <v>73503</v>
      </c>
    </row>
    <row r="79" spans="1:11" ht="63" x14ac:dyDescent="0.25">
      <c r="A79" s="44" t="s">
        <v>190</v>
      </c>
      <c r="B79" s="127">
        <v>871</v>
      </c>
      <c r="C79" s="126" t="s">
        <v>65</v>
      </c>
      <c r="D79" s="127">
        <v>13</v>
      </c>
      <c r="E79" s="126" t="s">
        <v>88</v>
      </c>
      <c r="F79" s="127">
        <v>1</v>
      </c>
      <c r="G79" s="126" t="s">
        <v>84</v>
      </c>
      <c r="H79" s="126" t="s">
        <v>69</v>
      </c>
      <c r="I79" s="127"/>
      <c r="J79" s="97">
        <f>J80</f>
        <v>5000</v>
      </c>
      <c r="K79" s="97">
        <f>K80</f>
        <v>5000</v>
      </c>
    </row>
    <row r="80" spans="1:11" ht="47.25" x14ac:dyDescent="0.25">
      <c r="A80" s="45" t="s">
        <v>185</v>
      </c>
      <c r="B80" s="127">
        <v>871</v>
      </c>
      <c r="C80" s="126" t="s">
        <v>65</v>
      </c>
      <c r="D80" s="126" t="s">
        <v>99</v>
      </c>
      <c r="E80" s="126" t="s">
        <v>88</v>
      </c>
      <c r="F80" s="126" t="s">
        <v>70</v>
      </c>
      <c r="G80" s="126" t="s">
        <v>84</v>
      </c>
      <c r="H80" s="126" t="s">
        <v>186</v>
      </c>
      <c r="I80" s="126"/>
      <c r="J80" s="97">
        <f>J81</f>
        <v>5000</v>
      </c>
      <c r="K80" s="97">
        <f>K81</f>
        <v>5000</v>
      </c>
    </row>
    <row r="81" spans="1:11" ht="47.25" x14ac:dyDescent="0.25">
      <c r="A81" s="45" t="s">
        <v>75</v>
      </c>
      <c r="B81" s="127">
        <v>871</v>
      </c>
      <c r="C81" s="126" t="s">
        <v>65</v>
      </c>
      <c r="D81" s="126" t="s">
        <v>99</v>
      </c>
      <c r="E81" s="126" t="s">
        <v>88</v>
      </c>
      <c r="F81" s="126" t="s">
        <v>70</v>
      </c>
      <c r="G81" s="126" t="s">
        <v>84</v>
      </c>
      <c r="H81" s="126" t="s">
        <v>186</v>
      </c>
      <c r="I81" s="126" t="s">
        <v>76</v>
      </c>
      <c r="J81" s="97">
        <v>5000</v>
      </c>
      <c r="K81" s="97">
        <v>5000</v>
      </c>
    </row>
    <row r="82" spans="1:11" ht="63" x14ac:dyDescent="0.25">
      <c r="A82" s="44" t="s">
        <v>192</v>
      </c>
      <c r="B82" s="127">
        <v>871</v>
      </c>
      <c r="C82" s="126" t="s">
        <v>65</v>
      </c>
      <c r="D82" s="127">
        <v>13</v>
      </c>
      <c r="E82" s="126" t="s">
        <v>112</v>
      </c>
      <c r="F82" s="127">
        <v>0</v>
      </c>
      <c r="G82" s="126" t="s">
        <v>68</v>
      </c>
      <c r="H82" s="126" t="s">
        <v>69</v>
      </c>
      <c r="I82" s="127"/>
      <c r="J82" s="97">
        <f>J83</f>
        <v>6000</v>
      </c>
      <c r="K82" s="97">
        <f>K83</f>
        <v>6000</v>
      </c>
    </row>
    <row r="83" spans="1:11" ht="47.25" x14ac:dyDescent="0.25">
      <c r="A83" s="44" t="s">
        <v>193</v>
      </c>
      <c r="B83" s="127">
        <v>871</v>
      </c>
      <c r="C83" s="126" t="s">
        <v>65</v>
      </c>
      <c r="D83" s="127">
        <v>13</v>
      </c>
      <c r="E83" s="126" t="s">
        <v>112</v>
      </c>
      <c r="F83" s="127">
        <v>0</v>
      </c>
      <c r="G83" s="126" t="s">
        <v>68</v>
      </c>
      <c r="H83" s="126" t="s">
        <v>69</v>
      </c>
      <c r="I83" s="127"/>
      <c r="J83" s="97">
        <f>J84+J86</f>
        <v>6000</v>
      </c>
      <c r="K83" s="97">
        <f>K84+K86</f>
        <v>6000</v>
      </c>
    </row>
    <row r="84" spans="1:11" ht="39" customHeight="1" x14ac:dyDescent="0.25">
      <c r="A84" s="45" t="s">
        <v>402</v>
      </c>
      <c r="B84" s="127">
        <v>871</v>
      </c>
      <c r="C84" s="126" t="s">
        <v>65</v>
      </c>
      <c r="D84" s="126" t="s">
        <v>99</v>
      </c>
      <c r="E84" s="126" t="s">
        <v>112</v>
      </c>
      <c r="F84" s="126" t="s">
        <v>67</v>
      </c>
      <c r="G84" s="126" t="s">
        <v>68</v>
      </c>
      <c r="H84" s="126" t="s">
        <v>403</v>
      </c>
      <c r="I84" s="126"/>
      <c r="J84" s="97">
        <f>J85</f>
        <v>6000</v>
      </c>
      <c r="K84" s="97">
        <f>K85</f>
        <v>6000</v>
      </c>
    </row>
    <row r="85" spans="1:11" x14ac:dyDescent="0.25">
      <c r="A85" s="45" t="s">
        <v>91</v>
      </c>
      <c r="B85" s="127">
        <v>871</v>
      </c>
      <c r="C85" s="126" t="s">
        <v>65</v>
      </c>
      <c r="D85" s="126" t="s">
        <v>99</v>
      </c>
      <c r="E85" s="126" t="s">
        <v>112</v>
      </c>
      <c r="F85" s="126" t="s">
        <v>67</v>
      </c>
      <c r="G85" s="126" t="s">
        <v>68</v>
      </c>
      <c r="H85" s="126" t="s">
        <v>403</v>
      </c>
      <c r="I85" s="126" t="s">
        <v>92</v>
      </c>
      <c r="J85" s="97">
        <v>6000</v>
      </c>
      <c r="K85" s="97">
        <v>6000</v>
      </c>
    </row>
    <row r="86" spans="1:11" ht="78.75" hidden="1" x14ac:dyDescent="0.25">
      <c r="A86" s="45" t="s">
        <v>404</v>
      </c>
      <c r="B86" s="127">
        <v>871</v>
      </c>
      <c r="C86" s="126" t="s">
        <v>65</v>
      </c>
      <c r="D86" s="126" t="s">
        <v>99</v>
      </c>
      <c r="E86" s="126" t="s">
        <v>112</v>
      </c>
      <c r="F86" s="126" t="s">
        <v>67</v>
      </c>
      <c r="G86" s="126" t="s">
        <v>68</v>
      </c>
      <c r="H86" s="126" t="s">
        <v>405</v>
      </c>
      <c r="I86" s="126"/>
      <c r="J86" s="97">
        <f>J87</f>
        <v>0</v>
      </c>
      <c r="K86" s="97">
        <f>K87</f>
        <v>0</v>
      </c>
    </row>
    <row r="87" spans="1:11" hidden="1" x14ac:dyDescent="0.25">
      <c r="A87" s="45" t="s">
        <v>91</v>
      </c>
      <c r="B87" s="127">
        <v>871</v>
      </c>
      <c r="C87" s="126" t="s">
        <v>65</v>
      </c>
      <c r="D87" s="126" t="s">
        <v>99</v>
      </c>
      <c r="E87" s="126" t="s">
        <v>112</v>
      </c>
      <c r="F87" s="126" t="s">
        <v>67</v>
      </c>
      <c r="G87" s="126" t="s">
        <v>68</v>
      </c>
      <c r="H87" s="126" t="s">
        <v>405</v>
      </c>
      <c r="I87" s="126" t="s">
        <v>92</v>
      </c>
      <c r="J87" s="97"/>
      <c r="K87" s="183"/>
    </row>
    <row r="88" spans="1:11" ht="63" x14ac:dyDescent="0.25">
      <c r="A88" s="44" t="s">
        <v>194</v>
      </c>
      <c r="B88" s="126" t="s">
        <v>54</v>
      </c>
      <c r="C88" s="126" t="s">
        <v>65</v>
      </c>
      <c r="D88" s="126" t="s">
        <v>99</v>
      </c>
      <c r="E88" s="126" t="s">
        <v>90</v>
      </c>
      <c r="F88" s="127">
        <v>0</v>
      </c>
      <c r="G88" s="126" t="s">
        <v>68</v>
      </c>
      <c r="H88" s="126" t="s">
        <v>69</v>
      </c>
      <c r="I88" s="127"/>
      <c r="J88" s="97">
        <f t="shared" ref="J88:K90" si="2">J89</f>
        <v>10000</v>
      </c>
      <c r="K88" s="97">
        <f t="shared" si="2"/>
        <v>10000</v>
      </c>
    </row>
    <row r="89" spans="1:11" x14ac:dyDescent="0.25">
      <c r="A89" s="45" t="s">
        <v>195</v>
      </c>
      <c r="B89" s="126" t="s">
        <v>54</v>
      </c>
      <c r="C89" s="126" t="s">
        <v>65</v>
      </c>
      <c r="D89" s="126" t="s">
        <v>99</v>
      </c>
      <c r="E89" s="126" t="s">
        <v>90</v>
      </c>
      <c r="F89" s="126" t="s">
        <v>67</v>
      </c>
      <c r="G89" s="126" t="s">
        <v>65</v>
      </c>
      <c r="H89" s="126" t="s">
        <v>69</v>
      </c>
      <c r="I89" s="126"/>
      <c r="J89" s="97">
        <f t="shared" si="2"/>
        <v>10000</v>
      </c>
      <c r="K89" s="97">
        <f t="shared" si="2"/>
        <v>10000</v>
      </c>
    </row>
    <row r="90" spans="1:11" ht="31.5" x14ac:dyDescent="0.25">
      <c r="A90" s="45" t="s">
        <v>196</v>
      </c>
      <c r="B90" s="126" t="s">
        <v>54</v>
      </c>
      <c r="C90" s="126" t="s">
        <v>65</v>
      </c>
      <c r="D90" s="126" t="s">
        <v>99</v>
      </c>
      <c r="E90" s="126" t="s">
        <v>90</v>
      </c>
      <c r="F90" s="126" t="s">
        <v>67</v>
      </c>
      <c r="G90" s="126" t="s">
        <v>65</v>
      </c>
      <c r="H90" s="126" t="s">
        <v>197</v>
      </c>
      <c r="I90" s="126"/>
      <c r="J90" s="97">
        <f t="shared" si="2"/>
        <v>10000</v>
      </c>
      <c r="K90" s="97">
        <f t="shared" si="2"/>
        <v>10000</v>
      </c>
    </row>
    <row r="91" spans="1:11" ht="47.25" x14ac:dyDescent="0.25">
      <c r="A91" s="45" t="s">
        <v>75</v>
      </c>
      <c r="B91" s="126" t="s">
        <v>54</v>
      </c>
      <c r="C91" s="126" t="s">
        <v>65</v>
      </c>
      <c r="D91" s="126" t="s">
        <v>99</v>
      </c>
      <c r="E91" s="126" t="s">
        <v>90</v>
      </c>
      <c r="F91" s="126" t="s">
        <v>67</v>
      </c>
      <c r="G91" s="126" t="s">
        <v>65</v>
      </c>
      <c r="H91" s="126" t="s">
        <v>197</v>
      </c>
      <c r="I91" s="126" t="s">
        <v>76</v>
      </c>
      <c r="J91" s="97">
        <v>10000</v>
      </c>
      <c r="K91" s="97">
        <v>10000</v>
      </c>
    </row>
    <row r="92" spans="1:11" ht="78.75" x14ac:dyDescent="0.25">
      <c r="A92" s="44" t="s">
        <v>143</v>
      </c>
      <c r="B92" s="127">
        <v>871</v>
      </c>
      <c r="C92" s="126" t="s">
        <v>65</v>
      </c>
      <c r="D92" s="127">
        <v>13</v>
      </c>
      <c r="E92" s="126" t="s">
        <v>94</v>
      </c>
      <c r="F92" s="127">
        <v>0</v>
      </c>
      <c r="G92" s="126" t="s">
        <v>68</v>
      </c>
      <c r="H92" s="126" t="s">
        <v>69</v>
      </c>
      <c r="I92" s="127"/>
      <c r="J92" s="97">
        <f t="shared" ref="J92:K94" si="3">J93</f>
        <v>1135000</v>
      </c>
      <c r="K92" s="97">
        <f t="shared" si="3"/>
        <v>1135000</v>
      </c>
    </row>
    <row r="93" spans="1:11" ht="31.5" x14ac:dyDescent="0.25">
      <c r="A93" s="45" t="s">
        <v>144</v>
      </c>
      <c r="B93" s="127">
        <v>871</v>
      </c>
      <c r="C93" s="126" t="s">
        <v>65</v>
      </c>
      <c r="D93" s="126" t="s">
        <v>99</v>
      </c>
      <c r="E93" s="126" t="s">
        <v>94</v>
      </c>
      <c r="F93" s="126" t="s">
        <v>67</v>
      </c>
      <c r="G93" s="126" t="s">
        <v>65</v>
      </c>
      <c r="H93" s="126" t="s">
        <v>69</v>
      </c>
      <c r="I93" s="126"/>
      <c r="J93" s="97">
        <f>J94+J96</f>
        <v>1135000</v>
      </c>
      <c r="K93" s="97">
        <f>K94+K96</f>
        <v>1135000</v>
      </c>
    </row>
    <row r="94" spans="1:11" ht="31.5" x14ac:dyDescent="0.25">
      <c r="A94" s="45" t="s">
        <v>144</v>
      </c>
      <c r="B94" s="127">
        <v>871</v>
      </c>
      <c r="C94" s="126" t="s">
        <v>65</v>
      </c>
      <c r="D94" s="126" t="s">
        <v>99</v>
      </c>
      <c r="E94" s="126" t="s">
        <v>94</v>
      </c>
      <c r="F94" s="126" t="s">
        <v>67</v>
      </c>
      <c r="G94" s="126" t="s">
        <v>65</v>
      </c>
      <c r="H94" s="126" t="s">
        <v>145</v>
      </c>
      <c r="I94" s="126"/>
      <c r="J94" s="97">
        <f t="shared" si="3"/>
        <v>135000</v>
      </c>
      <c r="K94" s="97">
        <f t="shared" si="3"/>
        <v>135000</v>
      </c>
    </row>
    <row r="95" spans="1:11" ht="47.25" x14ac:dyDescent="0.25">
      <c r="A95" s="45" t="s">
        <v>75</v>
      </c>
      <c r="B95" s="127">
        <v>871</v>
      </c>
      <c r="C95" s="126" t="s">
        <v>65</v>
      </c>
      <c r="D95" s="126" t="s">
        <v>99</v>
      </c>
      <c r="E95" s="126" t="s">
        <v>94</v>
      </c>
      <c r="F95" s="126" t="s">
        <v>67</v>
      </c>
      <c r="G95" s="126" t="s">
        <v>65</v>
      </c>
      <c r="H95" s="126" t="s">
        <v>145</v>
      </c>
      <c r="I95" s="126" t="s">
        <v>76</v>
      </c>
      <c r="J95" s="97">
        <v>135000</v>
      </c>
      <c r="K95" s="97">
        <v>135000</v>
      </c>
    </row>
    <row r="96" spans="1:11" x14ac:dyDescent="0.25">
      <c r="A96" s="45" t="s">
        <v>412</v>
      </c>
      <c r="B96" s="127">
        <v>871</v>
      </c>
      <c r="C96" s="126" t="s">
        <v>65</v>
      </c>
      <c r="D96" s="126" t="s">
        <v>99</v>
      </c>
      <c r="E96" s="126" t="s">
        <v>94</v>
      </c>
      <c r="F96" s="126" t="s">
        <v>67</v>
      </c>
      <c r="G96" s="126" t="s">
        <v>66</v>
      </c>
      <c r="H96" s="126" t="s">
        <v>69</v>
      </c>
      <c r="I96" s="126"/>
      <c r="J96" s="97">
        <f>J97</f>
        <v>1000000</v>
      </c>
      <c r="K96" s="97">
        <f>K97</f>
        <v>1000000</v>
      </c>
    </row>
    <row r="97" spans="1:11" ht="31.5" x14ac:dyDescent="0.25">
      <c r="A97" s="45" t="s">
        <v>144</v>
      </c>
      <c r="B97" s="127">
        <v>871</v>
      </c>
      <c r="C97" s="126" t="s">
        <v>65</v>
      </c>
      <c r="D97" s="126" t="s">
        <v>99</v>
      </c>
      <c r="E97" s="126" t="s">
        <v>94</v>
      </c>
      <c r="F97" s="126" t="s">
        <v>67</v>
      </c>
      <c r="G97" s="126" t="s">
        <v>66</v>
      </c>
      <c r="H97" s="126" t="s">
        <v>145</v>
      </c>
      <c r="I97" s="126"/>
      <c r="J97" s="97">
        <f>J98</f>
        <v>1000000</v>
      </c>
      <c r="K97" s="97">
        <f>K98</f>
        <v>1000000</v>
      </c>
    </row>
    <row r="98" spans="1:11" ht="47.25" x14ac:dyDescent="0.25">
      <c r="A98" s="45" t="s">
        <v>75</v>
      </c>
      <c r="B98" s="127">
        <v>871</v>
      </c>
      <c r="C98" s="126" t="s">
        <v>65</v>
      </c>
      <c r="D98" s="126" t="s">
        <v>99</v>
      </c>
      <c r="E98" s="126" t="s">
        <v>94</v>
      </c>
      <c r="F98" s="126" t="s">
        <v>67</v>
      </c>
      <c r="G98" s="126" t="s">
        <v>66</v>
      </c>
      <c r="H98" s="126" t="s">
        <v>145</v>
      </c>
      <c r="I98" s="126" t="s">
        <v>76</v>
      </c>
      <c r="J98" s="97">
        <v>1000000</v>
      </c>
      <c r="K98" s="97">
        <v>1000000</v>
      </c>
    </row>
    <row r="99" spans="1:11" ht="63" x14ac:dyDescent="0.25">
      <c r="A99" s="44" t="s">
        <v>198</v>
      </c>
      <c r="B99" s="127">
        <v>871</v>
      </c>
      <c r="C99" s="126" t="s">
        <v>65</v>
      </c>
      <c r="D99" s="127">
        <v>13</v>
      </c>
      <c r="E99" s="126" t="s">
        <v>99</v>
      </c>
      <c r="F99" s="127">
        <v>0</v>
      </c>
      <c r="G99" s="126" t="s">
        <v>68</v>
      </c>
      <c r="H99" s="126" t="s">
        <v>69</v>
      </c>
      <c r="I99" s="127"/>
      <c r="J99" s="97">
        <f t="shared" ref="J99:K101" si="4">J100</f>
        <v>10000</v>
      </c>
      <c r="K99" s="97">
        <f t="shared" si="4"/>
        <v>10000</v>
      </c>
    </row>
    <row r="100" spans="1:11" ht="51" customHeight="1" x14ac:dyDescent="0.25">
      <c r="A100" s="45" t="s">
        <v>199</v>
      </c>
      <c r="B100" s="126" t="s">
        <v>54</v>
      </c>
      <c r="C100" s="126" t="s">
        <v>65</v>
      </c>
      <c r="D100" s="126" t="s">
        <v>99</v>
      </c>
      <c r="E100" s="126" t="s">
        <v>99</v>
      </c>
      <c r="F100" s="126" t="s">
        <v>67</v>
      </c>
      <c r="G100" s="126" t="s">
        <v>66</v>
      </c>
      <c r="H100" s="126" t="s">
        <v>69</v>
      </c>
      <c r="I100" s="126"/>
      <c r="J100" s="97">
        <f t="shared" si="4"/>
        <v>10000</v>
      </c>
      <c r="K100" s="97">
        <f t="shared" si="4"/>
        <v>10000</v>
      </c>
    </row>
    <row r="101" spans="1:11" ht="31.5" x14ac:dyDescent="0.25">
      <c r="A101" s="45" t="s">
        <v>200</v>
      </c>
      <c r="B101" s="126" t="s">
        <v>54</v>
      </c>
      <c r="C101" s="126" t="s">
        <v>65</v>
      </c>
      <c r="D101" s="126" t="s">
        <v>99</v>
      </c>
      <c r="E101" s="126" t="s">
        <v>99</v>
      </c>
      <c r="F101" s="126" t="s">
        <v>67</v>
      </c>
      <c r="G101" s="126" t="s">
        <v>66</v>
      </c>
      <c r="H101" s="126" t="s">
        <v>201</v>
      </c>
      <c r="I101" s="126"/>
      <c r="J101" s="97">
        <f t="shared" si="4"/>
        <v>10000</v>
      </c>
      <c r="K101" s="97">
        <f t="shared" si="4"/>
        <v>10000</v>
      </c>
    </row>
    <row r="102" spans="1:11" ht="47.25" x14ac:dyDescent="0.25">
      <c r="A102" s="45" t="s">
        <v>75</v>
      </c>
      <c r="B102" s="127">
        <v>871</v>
      </c>
      <c r="C102" s="126" t="s">
        <v>65</v>
      </c>
      <c r="D102" s="126" t="s">
        <v>99</v>
      </c>
      <c r="E102" s="126" t="s">
        <v>99</v>
      </c>
      <c r="F102" s="126" t="s">
        <v>67</v>
      </c>
      <c r="G102" s="126" t="s">
        <v>66</v>
      </c>
      <c r="H102" s="126" t="s">
        <v>201</v>
      </c>
      <c r="I102" s="126" t="s">
        <v>76</v>
      </c>
      <c r="J102" s="97">
        <v>10000</v>
      </c>
      <c r="K102" s="97">
        <v>10000</v>
      </c>
    </row>
    <row r="103" spans="1:11" x14ac:dyDescent="0.25">
      <c r="A103" s="45" t="s">
        <v>80</v>
      </c>
      <c r="B103" s="126" t="s">
        <v>54</v>
      </c>
      <c r="C103" s="126" t="s">
        <v>65</v>
      </c>
      <c r="D103" s="126" t="s">
        <v>99</v>
      </c>
      <c r="E103" s="126" t="s">
        <v>81</v>
      </c>
      <c r="F103" s="127">
        <v>0</v>
      </c>
      <c r="G103" s="126" t="s">
        <v>68</v>
      </c>
      <c r="H103" s="126" t="s">
        <v>69</v>
      </c>
      <c r="I103" s="127"/>
      <c r="J103" s="97">
        <f t="shared" ref="J103:K105" si="5">J104</f>
        <v>130740.28</v>
      </c>
      <c r="K103" s="97">
        <f t="shared" si="5"/>
        <v>134966.46000000002</v>
      </c>
    </row>
    <row r="104" spans="1:11" x14ac:dyDescent="0.25">
      <c r="A104" s="45" t="s">
        <v>207</v>
      </c>
      <c r="B104" s="126" t="s">
        <v>54</v>
      </c>
      <c r="C104" s="126" t="s">
        <v>65</v>
      </c>
      <c r="D104" s="126" t="s">
        <v>99</v>
      </c>
      <c r="E104" s="126" t="s">
        <v>81</v>
      </c>
      <c r="F104" s="127">
        <v>9</v>
      </c>
      <c r="G104" s="126" t="s">
        <v>68</v>
      </c>
      <c r="H104" s="126" t="s">
        <v>69</v>
      </c>
      <c r="I104" s="127"/>
      <c r="J104" s="97">
        <f>J105+J107</f>
        <v>130740.28</v>
      </c>
      <c r="K104" s="97">
        <f>K105+K107</f>
        <v>134966.46000000002</v>
      </c>
    </row>
    <row r="105" spans="1:11" x14ac:dyDescent="0.25">
      <c r="A105" s="45" t="s">
        <v>210</v>
      </c>
      <c r="B105" s="126" t="s">
        <v>54</v>
      </c>
      <c r="C105" s="126" t="s">
        <v>65</v>
      </c>
      <c r="D105" s="126" t="s">
        <v>99</v>
      </c>
      <c r="E105" s="126" t="s">
        <v>81</v>
      </c>
      <c r="F105" s="127">
        <v>9</v>
      </c>
      <c r="G105" s="126" t="s">
        <v>68</v>
      </c>
      <c r="H105" s="127">
        <v>29090</v>
      </c>
      <c r="I105" s="126"/>
      <c r="J105" s="97">
        <f t="shared" si="5"/>
        <v>20000</v>
      </c>
      <c r="K105" s="97">
        <f t="shared" si="5"/>
        <v>20000</v>
      </c>
    </row>
    <row r="106" spans="1:11" x14ac:dyDescent="0.25">
      <c r="A106" s="45" t="s">
        <v>77</v>
      </c>
      <c r="B106" s="126" t="s">
        <v>54</v>
      </c>
      <c r="C106" s="126" t="s">
        <v>65</v>
      </c>
      <c r="D106" s="126" t="s">
        <v>99</v>
      </c>
      <c r="E106" s="126" t="s">
        <v>81</v>
      </c>
      <c r="F106" s="127">
        <v>9</v>
      </c>
      <c r="G106" s="126" t="s">
        <v>68</v>
      </c>
      <c r="H106" s="127">
        <v>29090</v>
      </c>
      <c r="I106" s="126" t="s">
        <v>78</v>
      </c>
      <c r="J106" s="97">
        <v>20000</v>
      </c>
      <c r="K106" s="97">
        <v>20000</v>
      </c>
    </row>
    <row r="107" spans="1:11" ht="31.5" x14ac:dyDescent="0.25">
      <c r="A107" s="44" t="s">
        <v>302</v>
      </c>
      <c r="B107" s="126" t="s">
        <v>54</v>
      </c>
      <c r="C107" s="126" t="s">
        <v>65</v>
      </c>
      <c r="D107" s="126" t="s">
        <v>99</v>
      </c>
      <c r="E107" s="126" t="s">
        <v>81</v>
      </c>
      <c r="F107" s="127">
        <v>9</v>
      </c>
      <c r="G107" s="126" t="s">
        <v>68</v>
      </c>
      <c r="H107" s="126" t="s">
        <v>303</v>
      </c>
      <c r="I107" s="127"/>
      <c r="J107" s="97">
        <f>J108</f>
        <v>110740.28</v>
      </c>
      <c r="K107" s="97">
        <f>K108</f>
        <v>114966.46</v>
      </c>
    </row>
    <row r="108" spans="1:11" x14ac:dyDescent="0.25">
      <c r="A108" s="45" t="s">
        <v>105</v>
      </c>
      <c r="B108" s="126" t="s">
        <v>54</v>
      </c>
      <c r="C108" s="126" t="s">
        <v>65</v>
      </c>
      <c r="D108" s="126" t="s">
        <v>99</v>
      </c>
      <c r="E108" s="126" t="s">
        <v>81</v>
      </c>
      <c r="F108" s="127">
        <v>9</v>
      </c>
      <c r="G108" s="126" t="s">
        <v>68</v>
      </c>
      <c r="H108" s="126" t="s">
        <v>303</v>
      </c>
      <c r="I108" s="127">
        <v>520</v>
      </c>
      <c r="J108" s="97">
        <v>110740.28</v>
      </c>
      <c r="K108" s="97">
        <v>114966.46</v>
      </c>
    </row>
    <row r="109" spans="1:11" x14ac:dyDescent="0.25">
      <c r="A109" s="50" t="s">
        <v>106</v>
      </c>
      <c r="B109" s="127">
        <v>871</v>
      </c>
      <c r="C109" s="126" t="s">
        <v>66</v>
      </c>
      <c r="D109" s="127" t="s">
        <v>22</v>
      </c>
      <c r="E109" s="126" t="s">
        <v>134</v>
      </c>
      <c r="F109" s="127"/>
      <c r="G109" s="126"/>
      <c r="H109" s="126"/>
      <c r="I109" s="127" t="s">
        <v>135</v>
      </c>
      <c r="J109" s="96">
        <f t="shared" ref="J109:K115" si="6">J110</f>
        <v>311237.99999999994</v>
      </c>
      <c r="K109" s="96">
        <f t="shared" si="6"/>
        <v>321878.49</v>
      </c>
    </row>
    <row r="110" spans="1:11" x14ac:dyDescent="0.25">
      <c r="A110" s="51" t="s">
        <v>107</v>
      </c>
      <c r="B110" s="127">
        <v>871</v>
      </c>
      <c r="C110" s="126" t="s">
        <v>66</v>
      </c>
      <c r="D110" s="126" t="s">
        <v>72</v>
      </c>
      <c r="E110" s="126" t="s">
        <v>134</v>
      </c>
      <c r="F110" s="127"/>
      <c r="G110" s="126"/>
      <c r="H110" s="126"/>
      <c r="I110" s="127" t="s">
        <v>135</v>
      </c>
      <c r="J110" s="97">
        <f t="shared" si="6"/>
        <v>311237.99999999994</v>
      </c>
      <c r="K110" s="97">
        <f t="shared" si="6"/>
        <v>321878.49</v>
      </c>
    </row>
    <row r="111" spans="1:11" x14ac:dyDescent="0.25">
      <c r="A111" s="45" t="s">
        <v>80</v>
      </c>
      <c r="B111" s="127">
        <v>871</v>
      </c>
      <c r="C111" s="126" t="s">
        <v>66</v>
      </c>
      <c r="D111" s="126" t="s">
        <v>72</v>
      </c>
      <c r="E111" s="126" t="s">
        <v>81</v>
      </c>
      <c r="F111" s="127">
        <v>0</v>
      </c>
      <c r="G111" s="126" t="s">
        <v>68</v>
      </c>
      <c r="H111" s="126" t="s">
        <v>69</v>
      </c>
      <c r="I111" s="127"/>
      <c r="J111" s="97">
        <f t="shared" si="6"/>
        <v>311237.99999999994</v>
      </c>
      <c r="K111" s="97">
        <f t="shared" si="6"/>
        <v>321878.49</v>
      </c>
    </row>
    <row r="112" spans="1:11" x14ac:dyDescent="0.25">
      <c r="A112" s="45" t="s">
        <v>207</v>
      </c>
      <c r="B112" s="127">
        <v>871</v>
      </c>
      <c r="C112" s="126" t="s">
        <v>66</v>
      </c>
      <c r="D112" s="126" t="s">
        <v>72</v>
      </c>
      <c r="E112" s="126" t="s">
        <v>81</v>
      </c>
      <c r="F112" s="127">
        <v>9</v>
      </c>
      <c r="G112" s="126" t="s">
        <v>68</v>
      </c>
      <c r="H112" s="126" t="s">
        <v>69</v>
      </c>
      <c r="I112" s="127"/>
      <c r="J112" s="97">
        <f>J113+J115</f>
        <v>311237.99999999994</v>
      </c>
      <c r="K112" s="97">
        <f>K113+K115</f>
        <v>321878.49</v>
      </c>
    </row>
    <row r="113" spans="1:11" ht="47.25" hidden="1" x14ac:dyDescent="0.25">
      <c r="A113" s="45" t="s">
        <v>513</v>
      </c>
      <c r="B113" s="203">
        <v>871</v>
      </c>
      <c r="C113" s="202" t="s">
        <v>66</v>
      </c>
      <c r="D113" s="202" t="s">
        <v>72</v>
      </c>
      <c r="E113" s="202" t="s">
        <v>81</v>
      </c>
      <c r="F113" s="203">
        <v>9</v>
      </c>
      <c r="G113" s="202" t="s">
        <v>68</v>
      </c>
      <c r="H113" s="202" t="s">
        <v>139</v>
      </c>
      <c r="I113" s="203"/>
      <c r="J113" s="97">
        <f>J114</f>
        <v>0</v>
      </c>
      <c r="K113" s="97">
        <f>K114</f>
        <v>0</v>
      </c>
    </row>
    <row r="114" spans="1:11" ht="31.5" hidden="1" x14ac:dyDescent="0.25">
      <c r="A114" s="44" t="s">
        <v>140</v>
      </c>
      <c r="B114" s="203">
        <v>871</v>
      </c>
      <c r="C114" s="202" t="s">
        <v>66</v>
      </c>
      <c r="D114" s="202" t="s">
        <v>72</v>
      </c>
      <c r="E114" s="202" t="s">
        <v>81</v>
      </c>
      <c r="F114" s="203">
        <v>9</v>
      </c>
      <c r="G114" s="202" t="s">
        <v>68</v>
      </c>
      <c r="H114" s="202" t="s">
        <v>139</v>
      </c>
      <c r="I114" s="203">
        <v>120</v>
      </c>
      <c r="J114" s="97"/>
      <c r="K114" s="97"/>
    </row>
    <row r="115" spans="1:11" ht="63" x14ac:dyDescent="0.25">
      <c r="A115" s="44" t="s">
        <v>211</v>
      </c>
      <c r="B115" s="127">
        <v>871</v>
      </c>
      <c r="C115" s="126" t="s">
        <v>66</v>
      </c>
      <c r="D115" s="126" t="s">
        <v>72</v>
      </c>
      <c r="E115" s="126" t="s">
        <v>81</v>
      </c>
      <c r="F115" s="127">
        <v>9</v>
      </c>
      <c r="G115" s="126" t="s">
        <v>68</v>
      </c>
      <c r="H115" s="126" t="s">
        <v>108</v>
      </c>
      <c r="I115" s="127"/>
      <c r="J115" s="97">
        <f t="shared" si="6"/>
        <v>311237.99999999994</v>
      </c>
      <c r="K115" s="97">
        <f t="shared" si="6"/>
        <v>321878.49</v>
      </c>
    </row>
    <row r="116" spans="1:11" ht="31.5" x14ac:dyDescent="0.25">
      <c r="A116" s="44" t="s">
        <v>140</v>
      </c>
      <c r="B116" s="127">
        <v>871</v>
      </c>
      <c r="C116" s="126" t="s">
        <v>66</v>
      </c>
      <c r="D116" s="126" t="s">
        <v>72</v>
      </c>
      <c r="E116" s="126" t="s">
        <v>81</v>
      </c>
      <c r="F116" s="127">
        <v>9</v>
      </c>
      <c r="G116" s="126" t="s">
        <v>68</v>
      </c>
      <c r="H116" s="126" t="s">
        <v>108</v>
      </c>
      <c r="I116" s="127">
        <v>120</v>
      </c>
      <c r="J116" s="97">
        <f>544666.44-233428.44</f>
        <v>311237.99999999994</v>
      </c>
      <c r="K116" s="97">
        <f>563287.35-241408.86</f>
        <v>321878.49</v>
      </c>
    </row>
    <row r="117" spans="1:11" ht="31.5" x14ac:dyDescent="0.25">
      <c r="A117" s="50" t="s">
        <v>109</v>
      </c>
      <c r="B117" s="127">
        <v>871</v>
      </c>
      <c r="C117" s="126" t="s">
        <v>72</v>
      </c>
      <c r="D117" s="126"/>
      <c r="E117" s="126"/>
      <c r="F117" s="127"/>
      <c r="G117" s="126"/>
      <c r="H117" s="126"/>
      <c r="I117" s="127"/>
      <c r="J117" s="97">
        <f>J118+J127</f>
        <v>1282578.6000000001</v>
      </c>
      <c r="K117" s="97">
        <f>K118+K127</f>
        <v>630978.6</v>
      </c>
    </row>
    <row r="118" spans="1:11" x14ac:dyDescent="0.25">
      <c r="A118" s="44" t="s">
        <v>406</v>
      </c>
      <c r="B118" s="127">
        <v>871</v>
      </c>
      <c r="C118" s="126" t="s">
        <v>72</v>
      </c>
      <c r="D118" s="126" t="s">
        <v>102</v>
      </c>
      <c r="E118" s="126"/>
      <c r="F118" s="127"/>
      <c r="G118" s="126"/>
      <c r="H118" s="126"/>
      <c r="I118" s="127"/>
      <c r="J118" s="97">
        <f>J119</f>
        <v>180000</v>
      </c>
      <c r="K118" s="97">
        <f>K119</f>
        <v>180000</v>
      </c>
    </row>
    <row r="119" spans="1:11" ht="126" x14ac:dyDescent="0.25">
      <c r="A119" s="44" t="s">
        <v>212</v>
      </c>
      <c r="B119" s="127">
        <v>871</v>
      </c>
      <c r="C119" s="126" t="s">
        <v>72</v>
      </c>
      <c r="D119" s="126" t="s">
        <v>102</v>
      </c>
      <c r="E119" s="126" t="s">
        <v>66</v>
      </c>
      <c r="F119" s="127">
        <v>0</v>
      </c>
      <c r="G119" s="126" t="s">
        <v>68</v>
      </c>
      <c r="H119" s="126" t="s">
        <v>69</v>
      </c>
      <c r="I119" s="127"/>
      <c r="J119" s="97">
        <f>J120</f>
        <v>180000</v>
      </c>
      <c r="K119" s="97">
        <f>K120</f>
        <v>180000</v>
      </c>
    </row>
    <row r="120" spans="1:11" ht="31.5" x14ac:dyDescent="0.25">
      <c r="A120" s="45" t="s">
        <v>213</v>
      </c>
      <c r="B120" s="127">
        <v>871</v>
      </c>
      <c r="C120" s="126" t="s">
        <v>72</v>
      </c>
      <c r="D120" s="126" t="s">
        <v>102</v>
      </c>
      <c r="E120" s="126" t="s">
        <v>66</v>
      </c>
      <c r="F120" s="127">
        <v>1</v>
      </c>
      <c r="G120" s="126" t="s">
        <v>68</v>
      </c>
      <c r="H120" s="126" t="s">
        <v>69</v>
      </c>
      <c r="I120" s="127"/>
      <c r="J120" s="97">
        <f>J121+J123+J125</f>
        <v>180000</v>
      </c>
      <c r="K120" s="97">
        <f>K121+K123+K125</f>
        <v>180000</v>
      </c>
    </row>
    <row r="121" spans="1:11" ht="31.5" x14ac:dyDescent="0.25">
      <c r="A121" s="45" t="s">
        <v>214</v>
      </c>
      <c r="B121" s="127">
        <v>871</v>
      </c>
      <c r="C121" s="126" t="s">
        <v>72</v>
      </c>
      <c r="D121" s="126" t="s">
        <v>102</v>
      </c>
      <c r="E121" s="126" t="s">
        <v>66</v>
      </c>
      <c r="F121" s="127">
        <v>1</v>
      </c>
      <c r="G121" s="126" t="s">
        <v>68</v>
      </c>
      <c r="H121" s="126" t="s">
        <v>215</v>
      </c>
      <c r="I121" s="127"/>
      <c r="J121" s="97">
        <f>J122</f>
        <v>70000</v>
      </c>
      <c r="K121" s="97">
        <f>K122</f>
        <v>70000</v>
      </c>
    </row>
    <row r="122" spans="1:11" ht="47.25" x14ac:dyDescent="0.25">
      <c r="A122" s="45" t="s">
        <v>75</v>
      </c>
      <c r="B122" s="127">
        <v>871</v>
      </c>
      <c r="C122" s="126" t="s">
        <v>72</v>
      </c>
      <c r="D122" s="126" t="s">
        <v>102</v>
      </c>
      <c r="E122" s="126" t="s">
        <v>66</v>
      </c>
      <c r="F122" s="127">
        <v>1</v>
      </c>
      <c r="G122" s="126" t="s">
        <v>68</v>
      </c>
      <c r="H122" s="126" t="s">
        <v>215</v>
      </c>
      <c r="I122" s="127">
        <v>240</v>
      </c>
      <c r="J122" s="97">
        <v>70000</v>
      </c>
      <c r="K122" s="97">
        <v>70000</v>
      </c>
    </row>
    <row r="123" spans="1:11" ht="37.5" customHeight="1" x14ac:dyDescent="0.25">
      <c r="A123" s="45" t="s">
        <v>417</v>
      </c>
      <c r="B123" s="127">
        <v>871</v>
      </c>
      <c r="C123" s="126" t="s">
        <v>72</v>
      </c>
      <c r="D123" s="126" t="s">
        <v>102</v>
      </c>
      <c r="E123" s="126" t="s">
        <v>66</v>
      </c>
      <c r="F123" s="127">
        <v>1</v>
      </c>
      <c r="G123" s="126" t="s">
        <v>68</v>
      </c>
      <c r="H123" s="126" t="s">
        <v>216</v>
      </c>
      <c r="I123" s="127"/>
      <c r="J123" s="97">
        <f>J124</f>
        <v>10000</v>
      </c>
      <c r="K123" s="97">
        <f>K124</f>
        <v>10000</v>
      </c>
    </row>
    <row r="124" spans="1:11" ht="47.25" x14ac:dyDescent="0.25">
      <c r="A124" s="45" t="s">
        <v>75</v>
      </c>
      <c r="B124" s="127">
        <v>871</v>
      </c>
      <c r="C124" s="126" t="s">
        <v>72</v>
      </c>
      <c r="D124" s="126" t="s">
        <v>102</v>
      </c>
      <c r="E124" s="126" t="s">
        <v>66</v>
      </c>
      <c r="F124" s="127">
        <v>1</v>
      </c>
      <c r="G124" s="126" t="s">
        <v>68</v>
      </c>
      <c r="H124" s="126" t="s">
        <v>216</v>
      </c>
      <c r="I124" s="127">
        <v>240</v>
      </c>
      <c r="J124" s="97">
        <v>10000</v>
      </c>
      <c r="K124" s="97">
        <v>10000</v>
      </c>
    </row>
    <row r="125" spans="1:11" x14ac:dyDescent="0.25">
      <c r="A125" s="45" t="s">
        <v>217</v>
      </c>
      <c r="B125" s="127">
        <v>871</v>
      </c>
      <c r="C125" s="126" t="s">
        <v>72</v>
      </c>
      <c r="D125" s="126" t="s">
        <v>102</v>
      </c>
      <c r="E125" s="126" t="s">
        <v>66</v>
      </c>
      <c r="F125" s="127">
        <v>1</v>
      </c>
      <c r="G125" s="126" t="s">
        <v>68</v>
      </c>
      <c r="H125" s="126" t="s">
        <v>218</v>
      </c>
      <c r="I125" s="127"/>
      <c r="J125" s="97">
        <f>J126</f>
        <v>100000</v>
      </c>
      <c r="K125" s="97">
        <f>K126</f>
        <v>100000</v>
      </c>
    </row>
    <row r="126" spans="1:11" ht="47.25" x14ac:dyDescent="0.25">
      <c r="A126" s="45" t="s">
        <v>75</v>
      </c>
      <c r="B126" s="127">
        <v>871</v>
      </c>
      <c r="C126" s="126" t="s">
        <v>72</v>
      </c>
      <c r="D126" s="126" t="s">
        <v>102</v>
      </c>
      <c r="E126" s="126" t="s">
        <v>66</v>
      </c>
      <c r="F126" s="127">
        <v>1</v>
      </c>
      <c r="G126" s="126" t="s">
        <v>68</v>
      </c>
      <c r="H126" s="126" t="s">
        <v>218</v>
      </c>
      <c r="I126" s="127">
        <v>240</v>
      </c>
      <c r="J126" s="97">
        <v>100000</v>
      </c>
      <c r="K126" s="97">
        <v>100000</v>
      </c>
    </row>
    <row r="127" spans="1:11" ht="47.25" x14ac:dyDescent="0.25">
      <c r="A127" s="45" t="s">
        <v>407</v>
      </c>
      <c r="B127" s="127">
        <v>871</v>
      </c>
      <c r="C127" s="126" t="s">
        <v>72</v>
      </c>
      <c r="D127" s="126" t="s">
        <v>90</v>
      </c>
      <c r="E127" s="126"/>
      <c r="F127" s="127"/>
      <c r="G127" s="126"/>
      <c r="H127" s="126"/>
      <c r="I127" s="127"/>
      <c r="J127" s="97">
        <f>J128+J138</f>
        <v>1102578.6000000001</v>
      </c>
      <c r="K127" s="97">
        <f>K128+K138</f>
        <v>450978.6</v>
      </c>
    </row>
    <row r="128" spans="1:11" ht="126" x14ac:dyDescent="0.25">
      <c r="A128" s="45" t="s">
        <v>212</v>
      </c>
      <c r="B128" s="127">
        <v>871</v>
      </c>
      <c r="C128" s="126" t="s">
        <v>72</v>
      </c>
      <c r="D128" s="126" t="s">
        <v>90</v>
      </c>
      <c r="E128" s="126" t="s">
        <v>66</v>
      </c>
      <c r="F128" s="127">
        <v>0</v>
      </c>
      <c r="G128" s="126" t="s">
        <v>68</v>
      </c>
      <c r="H128" s="126" t="s">
        <v>69</v>
      </c>
      <c r="I128" s="127"/>
      <c r="J128" s="97">
        <f>J129+J132+J135</f>
        <v>457878.6</v>
      </c>
      <c r="K128" s="97">
        <f>K129+K132+K135</f>
        <v>450978.6</v>
      </c>
    </row>
    <row r="129" spans="1:11" ht="63" x14ac:dyDescent="0.25">
      <c r="A129" s="52" t="s">
        <v>219</v>
      </c>
      <c r="B129" s="127">
        <v>871</v>
      </c>
      <c r="C129" s="126" t="s">
        <v>72</v>
      </c>
      <c r="D129" s="126" t="s">
        <v>90</v>
      </c>
      <c r="E129" s="126" t="s">
        <v>66</v>
      </c>
      <c r="F129" s="127">
        <v>2</v>
      </c>
      <c r="G129" s="126" t="s">
        <v>68</v>
      </c>
      <c r="H129" s="126" t="s">
        <v>69</v>
      </c>
      <c r="I129" s="127"/>
      <c r="J129" s="97">
        <f>J130</f>
        <v>5000</v>
      </c>
      <c r="K129" s="97">
        <f>K130</f>
        <v>5000</v>
      </c>
    </row>
    <row r="130" spans="1:11" ht="31.5" x14ac:dyDescent="0.25">
      <c r="A130" s="52" t="s">
        <v>220</v>
      </c>
      <c r="B130" s="127">
        <v>871</v>
      </c>
      <c r="C130" s="126" t="s">
        <v>72</v>
      </c>
      <c r="D130" s="126" t="s">
        <v>90</v>
      </c>
      <c r="E130" s="126" t="s">
        <v>66</v>
      </c>
      <c r="F130" s="127">
        <v>2</v>
      </c>
      <c r="G130" s="126" t="s">
        <v>68</v>
      </c>
      <c r="H130" s="126" t="s">
        <v>221</v>
      </c>
      <c r="I130" s="127"/>
      <c r="J130" s="97">
        <f>J131</f>
        <v>5000</v>
      </c>
      <c r="K130" s="97">
        <f>K131</f>
        <v>5000</v>
      </c>
    </row>
    <row r="131" spans="1:11" ht="47.25" x14ac:dyDescent="0.25">
      <c r="A131" s="45" t="s">
        <v>75</v>
      </c>
      <c r="B131" s="127">
        <v>871</v>
      </c>
      <c r="C131" s="126" t="s">
        <v>72</v>
      </c>
      <c r="D131" s="126" t="s">
        <v>90</v>
      </c>
      <c r="E131" s="126" t="s">
        <v>66</v>
      </c>
      <c r="F131" s="127">
        <v>2</v>
      </c>
      <c r="G131" s="126" t="s">
        <v>68</v>
      </c>
      <c r="H131" s="126" t="s">
        <v>221</v>
      </c>
      <c r="I131" s="127">
        <v>240</v>
      </c>
      <c r="J131" s="97">
        <v>5000</v>
      </c>
      <c r="K131" s="97">
        <v>5000</v>
      </c>
    </row>
    <row r="132" spans="1:11" ht="78.75" x14ac:dyDescent="0.25">
      <c r="A132" s="45" t="s">
        <v>222</v>
      </c>
      <c r="B132" s="127">
        <v>871</v>
      </c>
      <c r="C132" s="126" t="s">
        <v>72</v>
      </c>
      <c r="D132" s="126" t="s">
        <v>90</v>
      </c>
      <c r="E132" s="126" t="s">
        <v>66</v>
      </c>
      <c r="F132" s="127">
        <v>3</v>
      </c>
      <c r="G132" s="126" t="s">
        <v>68</v>
      </c>
      <c r="H132" s="126" t="s">
        <v>69</v>
      </c>
      <c r="I132" s="127"/>
      <c r="J132" s="97">
        <f>J133</f>
        <v>352878.6</v>
      </c>
      <c r="K132" s="97">
        <f>K133</f>
        <v>345978.6</v>
      </c>
    </row>
    <row r="133" spans="1:11" ht="47.25" x14ac:dyDescent="0.25">
      <c r="A133" s="45" t="s">
        <v>223</v>
      </c>
      <c r="B133" s="127">
        <v>871</v>
      </c>
      <c r="C133" s="126" t="s">
        <v>72</v>
      </c>
      <c r="D133" s="126" t="s">
        <v>90</v>
      </c>
      <c r="E133" s="126" t="s">
        <v>66</v>
      </c>
      <c r="F133" s="127">
        <v>3</v>
      </c>
      <c r="G133" s="126" t="s">
        <v>68</v>
      </c>
      <c r="H133" s="126" t="s">
        <v>224</v>
      </c>
      <c r="I133" s="127"/>
      <c r="J133" s="97">
        <f>J134</f>
        <v>352878.6</v>
      </c>
      <c r="K133" s="97">
        <f>K134</f>
        <v>345978.6</v>
      </c>
    </row>
    <row r="134" spans="1:11" ht="47.25" x14ac:dyDescent="0.25">
      <c r="A134" s="45" t="s">
        <v>75</v>
      </c>
      <c r="B134" s="127">
        <v>871</v>
      </c>
      <c r="C134" s="126" t="s">
        <v>72</v>
      </c>
      <c r="D134" s="126" t="s">
        <v>90</v>
      </c>
      <c r="E134" s="126" t="s">
        <v>66</v>
      </c>
      <c r="F134" s="127">
        <v>3</v>
      </c>
      <c r="G134" s="126" t="s">
        <v>68</v>
      </c>
      <c r="H134" s="126" t="s">
        <v>224</v>
      </c>
      <c r="I134" s="127">
        <v>240</v>
      </c>
      <c r="J134" s="97">
        <f>345978.6+6900</f>
        <v>352878.6</v>
      </c>
      <c r="K134" s="97">
        <v>345978.6</v>
      </c>
    </row>
    <row r="135" spans="1:11" ht="31.5" x14ac:dyDescent="0.25">
      <c r="A135" s="45" t="s">
        <v>228</v>
      </c>
      <c r="B135" s="127">
        <v>871</v>
      </c>
      <c r="C135" s="126" t="s">
        <v>72</v>
      </c>
      <c r="D135" s="126" t="s">
        <v>90</v>
      </c>
      <c r="E135" s="126" t="s">
        <v>66</v>
      </c>
      <c r="F135" s="127">
        <v>4</v>
      </c>
      <c r="G135" s="126" t="s">
        <v>68</v>
      </c>
      <c r="H135" s="126" t="s">
        <v>69</v>
      </c>
      <c r="I135" s="127"/>
      <c r="J135" s="97">
        <f t="shared" ref="J135:K136" si="7">J136</f>
        <v>100000</v>
      </c>
      <c r="K135" s="97">
        <f t="shared" si="7"/>
        <v>100000</v>
      </c>
    </row>
    <row r="136" spans="1:11" ht="31.5" x14ac:dyDescent="0.25">
      <c r="A136" s="45" t="s">
        <v>228</v>
      </c>
      <c r="B136" s="127">
        <v>871</v>
      </c>
      <c r="C136" s="126" t="s">
        <v>72</v>
      </c>
      <c r="D136" s="126" t="s">
        <v>90</v>
      </c>
      <c r="E136" s="126" t="s">
        <v>66</v>
      </c>
      <c r="F136" s="127">
        <v>4</v>
      </c>
      <c r="G136" s="126" t="s">
        <v>68</v>
      </c>
      <c r="H136" s="126" t="s">
        <v>229</v>
      </c>
      <c r="I136" s="127"/>
      <c r="J136" s="97">
        <f t="shared" si="7"/>
        <v>100000</v>
      </c>
      <c r="K136" s="97">
        <f t="shared" si="7"/>
        <v>100000</v>
      </c>
    </row>
    <row r="137" spans="1:11" ht="47.25" x14ac:dyDescent="0.25">
      <c r="A137" s="45" t="s">
        <v>75</v>
      </c>
      <c r="B137" s="127">
        <v>871</v>
      </c>
      <c r="C137" s="126" t="s">
        <v>72</v>
      </c>
      <c r="D137" s="126" t="s">
        <v>90</v>
      </c>
      <c r="E137" s="126" t="s">
        <v>66</v>
      </c>
      <c r="F137" s="127">
        <v>4</v>
      </c>
      <c r="G137" s="126" t="s">
        <v>68</v>
      </c>
      <c r="H137" s="126" t="s">
        <v>229</v>
      </c>
      <c r="I137" s="127">
        <v>240</v>
      </c>
      <c r="J137" s="97">
        <v>100000</v>
      </c>
      <c r="K137" s="97">
        <v>100000</v>
      </c>
    </row>
    <row r="138" spans="1:11" ht="31.5" customHeight="1" x14ac:dyDescent="0.25">
      <c r="A138" s="45" t="s">
        <v>225</v>
      </c>
      <c r="B138" s="127">
        <v>871</v>
      </c>
      <c r="C138" s="126" t="s">
        <v>72</v>
      </c>
      <c r="D138" s="126" t="s">
        <v>90</v>
      </c>
      <c r="E138" s="126">
        <v>97</v>
      </c>
      <c r="F138" s="127">
        <v>0</v>
      </c>
      <c r="G138" s="126" t="s">
        <v>68</v>
      </c>
      <c r="H138" s="126" t="s">
        <v>69</v>
      </c>
      <c r="I138" s="127"/>
      <c r="J138" s="97">
        <f t="shared" ref="J138:K140" si="8">J139</f>
        <v>644700</v>
      </c>
      <c r="K138" s="97">
        <f t="shared" si="8"/>
        <v>0</v>
      </c>
    </row>
    <row r="139" spans="1:11" ht="78.75" customHeight="1" x14ac:dyDescent="0.25">
      <c r="A139" s="45" t="s">
        <v>152</v>
      </c>
      <c r="B139" s="127">
        <v>871</v>
      </c>
      <c r="C139" s="126" t="s">
        <v>72</v>
      </c>
      <c r="D139" s="126" t="s">
        <v>90</v>
      </c>
      <c r="E139" s="126">
        <v>97</v>
      </c>
      <c r="F139" s="127">
        <v>2</v>
      </c>
      <c r="G139" s="126" t="s">
        <v>68</v>
      </c>
      <c r="H139" s="126" t="s">
        <v>69</v>
      </c>
      <c r="I139" s="127"/>
      <c r="J139" s="97">
        <f>J140+J142</f>
        <v>644700</v>
      </c>
      <c r="K139" s="97">
        <f>K140+K142</f>
        <v>0</v>
      </c>
    </row>
    <row r="140" spans="1:11" ht="78.75" customHeight="1" x14ac:dyDescent="0.25">
      <c r="A140" s="45" t="s">
        <v>226</v>
      </c>
      <c r="B140" s="127">
        <v>871</v>
      </c>
      <c r="C140" s="126" t="s">
        <v>72</v>
      </c>
      <c r="D140" s="126" t="s">
        <v>90</v>
      </c>
      <c r="E140" s="126" t="s">
        <v>154</v>
      </c>
      <c r="F140" s="127">
        <v>2</v>
      </c>
      <c r="G140" s="126" t="s">
        <v>68</v>
      </c>
      <c r="H140" s="126" t="s">
        <v>227</v>
      </c>
      <c r="I140" s="127"/>
      <c r="J140" s="97">
        <f t="shared" si="8"/>
        <v>34100</v>
      </c>
      <c r="K140" s="97">
        <f t="shared" si="8"/>
        <v>0</v>
      </c>
    </row>
    <row r="141" spans="1:11" ht="15.75" customHeight="1" x14ac:dyDescent="0.25">
      <c r="A141" s="48" t="s">
        <v>157</v>
      </c>
      <c r="B141" s="127">
        <v>871</v>
      </c>
      <c r="C141" s="126" t="s">
        <v>72</v>
      </c>
      <c r="D141" s="126" t="s">
        <v>90</v>
      </c>
      <c r="E141" s="126" t="s">
        <v>154</v>
      </c>
      <c r="F141" s="127">
        <v>2</v>
      </c>
      <c r="G141" s="126" t="s">
        <v>68</v>
      </c>
      <c r="H141" s="126" t="s">
        <v>227</v>
      </c>
      <c r="I141" s="127">
        <v>540</v>
      </c>
      <c r="J141" s="97">
        <v>34100</v>
      </c>
      <c r="K141" s="97">
        <v>0</v>
      </c>
    </row>
    <row r="142" spans="1:11" ht="157.5" x14ac:dyDescent="0.25">
      <c r="A142" s="45" t="s">
        <v>408</v>
      </c>
      <c r="B142" s="127">
        <v>871</v>
      </c>
      <c r="C142" s="126" t="s">
        <v>72</v>
      </c>
      <c r="D142" s="126" t="s">
        <v>90</v>
      </c>
      <c r="E142" s="126" t="s">
        <v>154</v>
      </c>
      <c r="F142" s="127">
        <v>2</v>
      </c>
      <c r="G142" s="126" t="s">
        <v>68</v>
      </c>
      <c r="H142" s="126" t="s">
        <v>409</v>
      </c>
      <c r="I142" s="127"/>
      <c r="J142" s="97">
        <f t="shared" ref="J142:K142" si="9">J143</f>
        <v>610600</v>
      </c>
      <c r="K142" s="97">
        <f t="shared" si="9"/>
        <v>0</v>
      </c>
    </row>
    <row r="143" spans="1:11" x14ac:dyDescent="0.25">
      <c r="A143" s="48" t="s">
        <v>157</v>
      </c>
      <c r="B143" s="127">
        <v>871</v>
      </c>
      <c r="C143" s="126" t="s">
        <v>72</v>
      </c>
      <c r="D143" s="126" t="s">
        <v>90</v>
      </c>
      <c r="E143" s="126" t="s">
        <v>154</v>
      </c>
      <c r="F143" s="127">
        <v>2</v>
      </c>
      <c r="G143" s="126" t="s">
        <v>68</v>
      </c>
      <c r="H143" s="126" t="s">
        <v>409</v>
      </c>
      <c r="I143" s="127">
        <v>540</v>
      </c>
      <c r="J143" s="97">
        <f>617500-6900</f>
        <v>610600</v>
      </c>
      <c r="K143" s="97">
        <v>0</v>
      </c>
    </row>
    <row r="144" spans="1:11" x14ac:dyDescent="0.25">
      <c r="A144" s="50" t="s">
        <v>111</v>
      </c>
      <c r="B144" s="127">
        <v>871</v>
      </c>
      <c r="C144" s="126" t="s">
        <v>83</v>
      </c>
      <c r="D144" s="127" t="s">
        <v>22</v>
      </c>
      <c r="E144" s="126"/>
      <c r="F144" s="127"/>
      <c r="G144" s="126"/>
      <c r="H144" s="126"/>
      <c r="I144" s="127"/>
      <c r="J144" s="97">
        <f>J145+J160+J165</f>
        <v>31812268.800000001</v>
      </c>
      <c r="K144" s="97">
        <f>K145+K160+K165</f>
        <v>31857495.420000002</v>
      </c>
    </row>
    <row r="145" spans="1:11" x14ac:dyDescent="0.25">
      <c r="A145" s="44" t="s">
        <v>114</v>
      </c>
      <c r="B145" s="126" t="s">
        <v>54</v>
      </c>
      <c r="C145" s="126" t="s">
        <v>83</v>
      </c>
      <c r="D145" s="126" t="s">
        <v>102</v>
      </c>
      <c r="E145" s="126"/>
      <c r="F145" s="127"/>
      <c r="G145" s="126"/>
      <c r="H145" s="126"/>
      <c r="I145" s="127"/>
      <c r="J145" s="97">
        <f>J146</f>
        <v>31782268.800000001</v>
      </c>
      <c r="K145" s="97">
        <f>K146</f>
        <v>31827495.420000002</v>
      </c>
    </row>
    <row r="146" spans="1:11" ht="63" x14ac:dyDescent="0.25">
      <c r="A146" s="44" t="s">
        <v>230</v>
      </c>
      <c r="B146" s="126" t="s">
        <v>54</v>
      </c>
      <c r="C146" s="126" t="s">
        <v>83</v>
      </c>
      <c r="D146" s="126" t="s">
        <v>102</v>
      </c>
      <c r="E146" s="126" t="s">
        <v>72</v>
      </c>
      <c r="F146" s="127">
        <v>0</v>
      </c>
      <c r="G146" s="126" t="s">
        <v>68</v>
      </c>
      <c r="H146" s="126" t="s">
        <v>69</v>
      </c>
      <c r="I146" s="127"/>
      <c r="J146" s="97">
        <f>J147</f>
        <v>31782268.800000001</v>
      </c>
      <c r="K146" s="97">
        <f>K147</f>
        <v>31827495.420000002</v>
      </c>
    </row>
    <row r="147" spans="1:11" ht="63" x14ac:dyDescent="0.25">
      <c r="A147" s="45" t="s">
        <v>231</v>
      </c>
      <c r="B147" s="126" t="s">
        <v>54</v>
      </c>
      <c r="C147" s="126" t="s">
        <v>83</v>
      </c>
      <c r="D147" s="126" t="s">
        <v>102</v>
      </c>
      <c r="E147" s="126" t="s">
        <v>72</v>
      </c>
      <c r="F147" s="127">
        <v>1</v>
      </c>
      <c r="G147" s="126" t="s">
        <v>68</v>
      </c>
      <c r="H147" s="126" t="s">
        <v>69</v>
      </c>
      <c r="I147" s="127"/>
      <c r="J147" s="97">
        <f>J148+J150+J152+J154+J158+J156</f>
        <v>31782268.800000001</v>
      </c>
      <c r="K147" s="97">
        <f>K148+K150+K152+K154+K158+K156</f>
        <v>31827495.420000002</v>
      </c>
    </row>
    <row r="148" spans="1:11" x14ac:dyDescent="0.25">
      <c r="A148" s="45" t="s">
        <v>232</v>
      </c>
      <c r="B148" s="126" t="s">
        <v>54</v>
      </c>
      <c r="C148" s="126" t="s">
        <v>83</v>
      </c>
      <c r="D148" s="126" t="s">
        <v>102</v>
      </c>
      <c r="E148" s="126" t="s">
        <v>72</v>
      </c>
      <c r="F148" s="127">
        <v>1</v>
      </c>
      <c r="G148" s="126" t="s">
        <v>68</v>
      </c>
      <c r="H148" s="126" t="s">
        <v>233</v>
      </c>
      <c r="I148" s="127"/>
      <c r="J148" s="97">
        <f>J149</f>
        <v>20869004.309999999</v>
      </c>
      <c r="K148" s="97">
        <f>K149</f>
        <v>20479700.280000001</v>
      </c>
    </row>
    <row r="149" spans="1:11" ht="47.25" x14ac:dyDescent="0.25">
      <c r="A149" s="45" t="s">
        <v>75</v>
      </c>
      <c r="B149" s="126" t="s">
        <v>54</v>
      </c>
      <c r="C149" s="126" t="s">
        <v>83</v>
      </c>
      <c r="D149" s="126" t="s">
        <v>102</v>
      </c>
      <c r="E149" s="126" t="s">
        <v>72</v>
      </c>
      <c r="F149" s="127">
        <v>1</v>
      </c>
      <c r="G149" s="126" t="s">
        <v>68</v>
      </c>
      <c r="H149" s="126" t="s">
        <v>233</v>
      </c>
      <c r="I149" s="127">
        <v>240</v>
      </c>
      <c r="J149" s="97">
        <v>20869004.309999999</v>
      </c>
      <c r="K149" s="97">
        <v>20479700.280000001</v>
      </c>
    </row>
    <row r="150" spans="1:11" ht="15.75" hidden="1" customHeight="1" x14ac:dyDescent="0.25">
      <c r="A150" s="45" t="s">
        <v>234</v>
      </c>
      <c r="B150" s="126" t="s">
        <v>54</v>
      </c>
      <c r="C150" s="126" t="s">
        <v>83</v>
      </c>
      <c r="D150" s="126" t="s">
        <v>102</v>
      </c>
      <c r="E150" s="126" t="s">
        <v>72</v>
      </c>
      <c r="F150" s="127">
        <v>1</v>
      </c>
      <c r="G150" s="126" t="s">
        <v>68</v>
      </c>
      <c r="H150" s="126" t="s">
        <v>235</v>
      </c>
      <c r="I150" s="127"/>
      <c r="J150" s="97">
        <f>J151</f>
        <v>0</v>
      </c>
      <c r="K150" s="97">
        <f>K151</f>
        <v>0</v>
      </c>
    </row>
    <row r="151" spans="1:11" ht="47.25" hidden="1" customHeight="1" x14ac:dyDescent="0.25">
      <c r="A151" s="45" t="s">
        <v>75</v>
      </c>
      <c r="B151" s="126" t="s">
        <v>54</v>
      </c>
      <c r="C151" s="126" t="s">
        <v>83</v>
      </c>
      <c r="D151" s="126" t="s">
        <v>102</v>
      </c>
      <c r="E151" s="126" t="s">
        <v>72</v>
      </c>
      <c r="F151" s="127">
        <v>1</v>
      </c>
      <c r="G151" s="126" t="s">
        <v>68</v>
      </c>
      <c r="H151" s="126" t="s">
        <v>235</v>
      </c>
      <c r="I151" s="127">
        <v>240</v>
      </c>
      <c r="J151" s="97"/>
      <c r="K151" s="97"/>
    </row>
    <row r="152" spans="1:11" hidden="1" x14ac:dyDescent="0.25">
      <c r="A152" s="45" t="s">
        <v>236</v>
      </c>
      <c r="B152" s="127">
        <v>871</v>
      </c>
      <c r="C152" s="126" t="s">
        <v>83</v>
      </c>
      <c r="D152" s="126" t="s">
        <v>102</v>
      </c>
      <c r="E152" s="126" t="s">
        <v>72</v>
      </c>
      <c r="F152" s="127">
        <v>1</v>
      </c>
      <c r="G152" s="126" t="s">
        <v>68</v>
      </c>
      <c r="H152" s="126" t="s">
        <v>237</v>
      </c>
      <c r="I152" s="127"/>
      <c r="J152" s="97">
        <f>J153</f>
        <v>0</v>
      </c>
      <c r="K152" s="97">
        <f>K153</f>
        <v>0</v>
      </c>
    </row>
    <row r="153" spans="1:11" ht="47.25" hidden="1" x14ac:dyDescent="0.25">
      <c r="A153" s="45" t="s">
        <v>75</v>
      </c>
      <c r="B153" s="127">
        <v>871</v>
      </c>
      <c r="C153" s="126" t="s">
        <v>83</v>
      </c>
      <c r="D153" s="126" t="s">
        <v>102</v>
      </c>
      <c r="E153" s="126" t="s">
        <v>72</v>
      </c>
      <c r="F153" s="127">
        <v>1</v>
      </c>
      <c r="G153" s="126" t="s">
        <v>68</v>
      </c>
      <c r="H153" s="126" t="s">
        <v>237</v>
      </c>
      <c r="I153" s="127">
        <v>240</v>
      </c>
      <c r="J153" s="97">
        <v>0</v>
      </c>
      <c r="K153" s="97">
        <v>0</v>
      </c>
    </row>
    <row r="154" spans="1:11" ht="47.25" x14ac:dyDescent="0.25">
      <c r="A154" s="45" t="s">
        <v>238</v>
      </c>
      <c r="B154" s="127">
        <v>871</v>
      </c>
      <c r="C154" s="126" t="s">
        <v>83</v>
      </c>
      <c r="D154" s="126" t="s">
        <v>102</v>
      </c>
      <c r="E154" s="126" t="s">
        <v>72</v>
      </c>
      <c r="F154" s="127">
        <v>1</v>
      </c>
      <c r="G154" s="126" t="s">
        <v>68</v>
      </c>
      <c r="H154" s="126" t="s">
        <v>239</v>
      </c>
      <c r="I154" s="127"/>
      <c r="J154" s="97">
        <f>J155</f>
        <v>50000</v>
      </c>
      <c r="K154" s="97">
        <f>K155</f>
        <v>50000</v>
      </c>
    </row>
    <row r="155" spans="1:11" ht="47.25" x14ac:dyDescent="0.25">
      <c r="A155" s="45" t="s">
        <v>75</v>
      </c>
      <c r="B155" s="127">
        <v>871</v>
      </c>
      <c r="C155" s="126" t="s">
        <v>83</v>
      </c>
      <c r="D155" s="126" t="s">
        <v>102</v>
      </c>
      <c r="E155" s="126" t="s">
        <v>72</v>
      </c>
      <c r="F155" s="127">
        <v>1</v>
      </c>
      <c r="G155" s="126" t="s">
        <v>68</v>
      </c>
      <c r="H155" s="126" t="s">
        <v>239</v>
      </c>
      <c r="I155" s="127">
        <v>240</v>
      </c>
      <c r="J155" s="97">
        <v>50000</v>
      </c>
      <c r="K155" s="97">
        <v>50000</v>
      </c>
    </row>
    <row r="156" spans="1:11" x14ac:dyDescent="0.25">
      <c r="A156" s="45" t="s">
        <v>240</v>
      </c>
      <c r="B156" s="127">
        <v>871</v>
      </c>
      <c r="C156" s="126" t="s">
        <v>83</v>
      </c>
      <c r="D156" s="126" t="s">
        <v>102</v>
      </c>
      <c r="E156" s="126" t="s">
        <v>72</v>
      </c>
      <c r="F156" s="127">
        <v>1</v>
      </c>
      <c r="G156" s="126" t="s">
        <v>68</v>
      </c>
      <c r="H156" s="126" t="s">
        <v>241</v>
      </c>
      <c r="I156" s="127"/>
      <c r="J156" s="97">
        <f>J157</f>
        <v>7748461.4800000004</v>
      </c>
      <c r="K156" s="97">
        <f>K157</f>
        <v>8058400</v>
      </c>
    </row>
    <row r="157" spans="1:11" ht="47.25" x14ac:dyDescent="0.25">
      <c r="A157" s="45" t="s">
        <v>75</v>
      </c>
      <c r="B157" s="127">
        <v>871</v>
      </c>
      <c r="C157" s="126" t="s">
        <v>83</v>
      </c>
      <c r="D157" s="126" t="s">
        <v>102</v>
      </c>
      <c r="E157" s="126" t="s">
        <v>72</v>
      </c>
      <c r="F157" s="127">
        <v>1</v>
      </c>
      <c r="G157" s="126" t="s">
        <v>68</v>
      </c>
      <c r="H157" s="126" t="s">
        <v>241</v>
      </c>
      <c r="I157" s="127">
        <v>240</v>
      </c>
      <c r="J157" s="97">
        <v>7748461.4800000004</v>
      </c>
      <c r="K157" s="97">
        <v>8058400</v>
      </c>
    </row>
    <row r="158" spans="1:11" ht="31.5" x14ac:dyDescent="0.25">
      <c r="A158" s="45" t="s">
        <v>244</v>
      </c>
      <c r="B158" s="127">
        <v>871</v>
      </c>
      <c r="C158" s="126" t="s">
        <v>83</v>
      </c>
      <c r="D158" s="126" t="s">
        <v>102</v>
      </c>
      <c r="E158" s="126" t="s">
        <v>72</v>
      </c>
      <c r="F158" s="127">
        <v>1</v>
      </c>
      <c r="G158" s="126" t="s">
        <v>68</v>
      </c>
      <c r="H158" s="126" t="s">
        <v>245</v>
      </c>
      <c r="I158" s="127"/>
      <c r="J158" s="97">
        <f>J159</f>
        <v>3114803.01</v>
      </c>
      <c r="K158" s="97">
        <f>K159</f>
        <v>3239395.14</v>
      </c>
    </row>
    <row r="159" spans="1:11" ht="47.25" x14ac:dyDescent="0.25">
      <c r="A159" s="45" t="s">
        <v>75</v>
      </c>
      <c r="B159" s="127">
        <v>871</v>
      </c>
      <c r="C159" s="126" t="s">
        <v>83</v>
      </c>
      <c r="D159" s="126" t="s">
        <v>102</v>
      </c>
      <c r="E159" s="126" t="s">
        <v>72</v>
      </c>
      <c r="F159" s="127">
        <v>1</v>
      </c>
      <c r="G159" s="126" t="s">
        <v>68</v>
      </c>
      <c r="H159" s="126" t="s">
        <v>245</v>
      </c>
      <c r="I159" s="127">
        <v>240</v>
      </c>
      <c r="J159" s="97">
        <v>3114803.01</v>
      </c>
      <c r="K159" s="97">
        <v>3239395.14</v>
      </c>
    </row>
    <row r="160" spans="1:11" hidden="1" x14ac:dyDescent="0.25">
      <c r="A160" s="45" t="s">
        <v>115</v>
      </c>
      <c r="B160" s="127">
        <v>871</v>
      </c>
      <c r="C160" s="126" t="s">
        <v>83</v>
      </c>
      <c r="D160" s="126" t="s">
        <v>90</v>
      </c>
      <c r="E160" s="126"/>
      <c r="F160" s="126"/>
      <c r="G160" s="126"/>
      <c r="H160" s="126"/>
      <c r="I160" s="127" t="s">
        <v>135</v>
      </c>
      <c r="J160" s="97">
        <f t="shared" ref="J160:K163" si="10">J161</f>
        <v>0</v>
      </c>
      <c r="K160" s="97">
        <f t="shared" si="10"/>
        <v>0</v>
      </c>
    </row>
    <row r="161" spans="1:11" hidden="1" x14ac:dyDescent="0.25">
      <c r="A161" s="45" t="s">
        <v>80</v>
      </c>
      <c r="B161" s="127">
        <v>871</v>
      </c>
      <c r="C161" s="126" t="s">
        <v>83</v>
      </c>
      <c r="D161" s="126" t="s">
        <v>90</v>
      </c>
      <c r="E161" s="126" t="s">
        <v>81</v>
      </c>
      <c r="F161" s="127">
        <v>0</v>
      </c>
      <c r="G161" s="126" t="s">
        <v>68</v>
      </c>
      <c r="H161" s="126" t="s">
        <v>69</v>
      </c>
      <c r="I161" s="127"/>
      <c r="J161" s="97">
        <f t="shared" si="10"/>
        <v>0</v>
      </c>
      <c r="K161" s="97">
        <f t="shared" si="10"/>
        <v>0</v>
      </c>
    </row>
    <row r="162" spans="1:11" hidden="1" x14ac:dyDescent="0.25">
      <c r="A162" s="45" t="s">
        <v>207</v>
      </c>
      <c r="B162" s="126" t="s">
        <v>54</v>
      </c>
      <c r="C162" s="126" t="s">
        <v>83</v>
      </c>
      <c r="D162" s="126" t="s">
        <v>90</v>
      </c>
      <c r="E162" s="126" t="s">
        <v>81</v>
      </c>
      <c r="F162" s="127">
        <v>9</v>
      </c>
      <c r="G162" s="126" t="s">
        <v>68</v>
      </c>
      <c r="H162" s="126" t="s">
        <v>69</v>
      </c>
      <c r="I162" s="127"/>
      <c r="J162" s="97">
        <f t="shared" si="10"/>
        <v>0</v>
      </c>
      <c r="K162" s="97">
        <f t="shared" si="10"/>
        <v>0</v>
      </c>
    </row>
    <row r="163" spans="1:11" ht="47.25" hidden="1" x14ac:dyDescent="0.25">
      <c r="A163" s="45" t="s">
        <v>246</v>
      </c>
      <c r="B163" s="126" t="s">
        <v>54</v>
      </c>
      <c r="C163" s="126" t="s">
        <v>83</v>
      </c>
      <c r="D163" s="126" t="s">
        <v>90</v>
      </c>
      <c r="E163" s="126" t="s">
        <v>81</v>
      </c>
      <c r="F163" s="127">
        <v>9</v>
      </c>
      <c r="G163" s="126" t="s">
        <v>68</v>
      </c>
      <c r="H163" s="126" t="s">
        <v>116</v>
      </c>
      <c r="I163" s="127"/>
      <c r="J163" s="97">
        <f t="shared" si="10"/>
        <v>0</v>
      </c>
      <c r="K163" s="97">
        <f t="shared" si="10"/>
        <v>0</v>
      </c>
    </row>
    <row r="164" spans="1:11" ht="47.25" hidden="1" x14ac:dyDescent="0.25">
      <c r="A164" s="45" t="s">
        <v>75</v>
      </c>
      <c r="B164" s="126" t="s">
        <v>54</v>
      </c>
      <c r="C164" s="126" t="s">
        <v>83</v>
      </c>
      <c r="D164" s="126" t="s">
        <v>90</v>
      </c>
      <c r="E164" s="126" t="s">
        <v>81</v>
      </c>
      <c r="F164" s="127">
        <v>9</v>
      </c>
      <c r="G164" s="126" t="s">
        <v>68</v>
      </c>
      <c r="H164" s="126" t="s">
        <v>116</v>
      </c>
      <c r="I164" s="127">
        <v>240</v>
      </c>
      <c r="J164" s="97">
        <v>0</v>
      </c>
      <c r="K164" s="97">
        <v>0</v>
      </c>
    </row>
    <row r="165" spans="1:11" ht="31.5" x14ac:dyDescent="0.25">
      <c r="A165" s="44" t="s">
        <v>117</v>
      </c>
      <c r="B165" s="127">
        <v>871</v>
      </c>
      <c r="C165" s="126" t="s">
        <v>83</v>
      </c>
      <c r="D165" s="126" t="s">
        <v>97</v>
      </c>
      <c r="E165" s="126"/>
      <c r="F165" s="126"/>
      <c r="G165" s="126"/>
      <c r="H165" s="126"/>
      <c r="I165" s="127" t="s">
        <v>135</v>
      </c>
      <c r="J165" s="96">
        <f t="shared" ref="J165:K167" si="11">J166</f>
        <v>30000</v>
      </c>
      <c r="K165" s="96">
        <f t="shared" si="11"/>
        <v>30000</v>
      </c>
    </row>
    <row r="166" spans="1:11" ht="78.75" x14ac:dyDescent="0.25">
      <c r="A166" s="45" t="s">
        <v>247</v>
      </c>
      <c r="B166" s="127">
        <v>871</v>
      </c>
      <c r="C166" s="126" t="s">
        <v>83</v>
      </c>
      <c r="D166" s="126" t="s">
        <v>97</v>
      </c>
      <c r="E166" s="126" t="s">
        <v>83</v>
      </c>
      <c r="F166" s="127">
        <v>0</v>
      </c>
      <c r="G166" s="126" t="s">
        <v>68</v>
      </c>
      <c r="H166" s="126" t="s">
        <v>69</v>
      </c>
      <c r="I166" s="127"/>
      <c r="J166" s="97">
        <f t="shared" si="11"/>
        <v>30000</v>
      </c>
      <c r="K166" s="97">
        <f t="shared" si="11"/>
        <v>30000</v>
      </c>
    </row>
    <row r="167" spans="1:11" x14ac:dyDescent="0.25">
      <c r="A167" s="45" t="s">
        <v>249</v>
      </c>
      <c r="B167" s="126" t="s">
        <v>54</v>
      </c>
      <c r="C167" s="126" t="s">
        <v>83</v>
      </c>
      <c r="D167" s="126" t="s">
        <v>97</v>
      </c>
      <c r="E167" s="126" t="s">
        <v>83</v>
      </c>
      <c r="F167" s="127">
        <v>0</v>
      </c>
      <c r="G167" s="126" t="s">
        <v>68</v>
      </c>
      <c r="H167" s="126" t="s">
        <v>250</v>
      </c>
      <c r="I167" s="127"/>
      <c r="J167" s="97">
        <f t="shared" si="11"/>
        <v>30000</v>
      </c>
      <c r="K167" s="97">
        <f t="shared" si="11"/>
        <v>30000</v>
      </c>
    </row>
    <row r="168" spans="1:11" ht="47.25" x14ac:dyDescent="0.25">
      <c r="A168" s="45" t="s">
        <v>248</v>
      </c>
      <c r="B168" s="126" t="s">
        <v>54</v>
      </c>
      <c r="C168" s="126" t="s">
        <v>83</v>
      </c>
      <c r="D168" s="126" t="s">
        <v>97</v>
      </c>
      <c r="E168" s="126" t="s">
        <v>83</v>
      </c>
      <c r="F168" s="127">
        <v>0</v>
      </c>
      <c r="G168" s="126" t="s">
        <v>68</v>
      </c>
      <c r="H168" s="126" t="s">
        <v>250</v>
      </c>
      <c r="I168" s="127">
        <v>810</v>
      </c>
      <c r="J168" s="97">
        <v>30000</v>
      </c>
      <c r="K168" s="97">
        <v>30000</v>
      </c>
    </row>
    <row r="169" spans="1:11" x14ac:dyDescent="0.25">
      <c r="A169" s="50" t="s">
        <v>424</v>
      </c>
      <c r="B169" s="126" t="s">
        <v>54</v>
      </c>
      <c r="C169" s="126" t="s">
        <v>84</v>
      </c>
      <c r="D169" s="127" t="s">
        <v>22</v>
      </c>
      <c r="E169" s="126"/>
      <c r="F169" s="127"/>
      <c r="G169" s="126"/>
      <c r="H169" s="126"/>
      <c r="I169" s="127"/>
      <c r="J169" s="97">
        <f>J170+J182+J223</f>
        <v>67698123.340000004</v>
      </c>
      <c r="K169" s="97">
        <f>K170+K182+K223</f>
        <v>69344373.659999996</v>
      </c>
    </row>
    <row r="170" spans="1:11" x14ac:dyDescent="0.25">
      <c r="A170" s="44" t="s">
        <v>118</v>
      </c>
      <c r="B170" s="126" t="s">
        <v>54</v>
      </c>
      <c r="C170" s="126" t="s">
        <v>84</v>
      </c>
      <c r="D170" s="127" t="s">
        <v>65</v>
      </c>
      <c r="E170" s="126"/>
      <c r="F170" s="127"/>
      <c r="G170" s="126"/>
      <c r="H170" s="126"/>
      <c r="I170" s="127"/>
      <c r="J170" s="97">
        <f>J171+J178</f>
        <v>1231098.04</v>
      </c>
      <c r="K170" s="97">
        <f>K171+K178</f>
        <v>1207476.0900000001</v>
      </c>
    </row>
    <row r="171" spans="1:11" ht="63" x14ac:dyDescent="0.25">
      <c r="A171" s="45" t="s">
        <v>251</v>
      </c>
      <c r="B171" s="126" t="s">
        <v>54</v>
      </c>
      <c r="C171" s="126" t="s">
        <v>84</v>
      </c>
      <c r="D171" s="126" t="s">
        <v>65</v>
      </c>
      <c r="E171" s="126" t="s">
        <v>84</v>
      </c>
      <c r="F171" s="127">
        <v>0</v>
      </c>
      <c r="G171" s="126" t="s">
        <v>68</v>
      </c>
      <c r="H171" s="126" t="s">
        <v>69</v>
      </c>
      <c r="I171" s="127"/>
      <c r="J171" s="97">
        <f>J172+J175</f>
        <v>50000</v>
      </c>
      <c r="K171" s="97">
        <f>K172+K175</f>
        <v>50000</v>
      </c>
    </row>
    <row r="172" spans="1:11" ht="31.5" x14ac:dyDescent="0.25">
      <c r="A172" s="45" t="s">
        <v>252</v>
      </c>
      <c r="B172" s="126" t="s">
        <v>54</v>
      </c>
      <c r="C172" s="126" t="s">
        <v>84</v>
      </c>
      <c r="D172" s="126" t="s">
        <v>65</v>
      </c>
      <c r="E172" s="126" t="s">
        <v>84</v>
      </c>
      <c r="F172" s="127">
        <v>1</v>
      </c>
      <c r="G172" s="126" t="s">
        <v>68</v>
      </c>
      <c r="H172" s="126" t="s">
        <v>69</v>
      </c>
      <c r="I172" s="127"/>
      <c r="J172" s="97">
        <f>J173</f>
        <v>50000</v>
      </c>
      <c r="K172" s="97">
        <f>K173</f>
        <v>50000</v>
      </c>
    </row>
    <row r="173" spans="1:11" x14ac:dyDescent="0.25">
      <c r="A173" s="45" t="s">
        <v>253</v>
      </c>
      <c r="B173" s="126" t="s">
        <v>54</v>
      </c>
      <c r="C173" s="126" t="s">
        <v>84</v>
      </c>
      <c r="D173" s="126" t="s">
        <v>65</v>
      </c>
      <c r="E173" s="126" t="s">
        <v>84</v>
      </c>
      <c r="F173" s="127">
        <v>1</v>
      </c>
      <c r="G173" s="126" t="s">
        <v>68</v>
      </c>
      <c r="H173" s="126" t="s">
        <v>254</v>
      </c>
      <c r="I173" s="127"/>
      <c r="J173" s="97">
        <f>J174</f>
        <v>50000</v>
      </c>
      <c r="K173" s="97">
        <f>K174</f>
        <v>50000</v>
      </c>
    </row>
    <row r="174" spans="1:11" ht="47.25" x14ac:dyDescent="0.25">
      <c r="A174" s="45" t="s">
        <v>75</v>
      </c>
      <c r="B174" s="126" t="s">
        <v>54</v>
      </c>
      <c r="C174" s="126" t="s">
        <v>84</v>
      </c>
      <c r="D174" s="126" t="s">
        <v>65</v>
      </c>
      <c r="E174" s="126" t="s">
        <v>84</v>
      </c>
      <c r="F174" s="127">
        <v>1</v>
      </c>
      <c r="G174" s="126" t="s">
        <v>68</v>
      </c>
      <c r="H174" s="126" t="s">
        <v>254</v>
      </c>
      <c r="I174" s="127">
        <v>240</v>
      </c>
      <c r="J174" s="97">
        <v>50000</v>
      </c>
      <c r="K174" s="97">
        <v>50000</v>
      </c>
    </row>
    <row r="175" spans="1:11" ht="47.25" hidden="1" customHeight="1" x14ac:dyDescent="0.25">
      <c r="A175" s="45" t="s">
        <v>256</v>
      </c>
      <c r="B175" s="126" t="s">
        <v>54</v>
      </c>
      <c r="C175" s="126" t="s">
        <v>84</v>
      </c>
      <c r="D175" s="126" t="s">
        <v>65</v>
      </c>
      <c r="E175" s="126" t="s">
        <v>84</v>
      </c>
      <c r="F175" s="127">
        <v>6</v>
      </c>
      <c r="G175" s="126" t="s">
        <v>68</v>
      </c>
      <c r="H175" s="126" t="s">
        <v>69</v>
      </c>
      <c r="I175" s="127"/>
      <c r="J175" s="97">
        <f>J176</f>
        <v>0</v>
      </c>
      <c r="K175" s="97">
        <f>K176</f>
        <v>0</v>
      </c>
    </row>
    <row r="176" spans="1:11" ht="15.75" hidden="1" customHeight="1" x14ac:dyDescent="0.25">
      <c r="A176" s="45" t="s">
        <v>257</v>
      </c>
      <c r="B176" s="126" t="s">
        <v>54</v>
      </c>
      <c r="C176" s="126" t="s">
        <v>84</v>
      </c>
      <c r="D176" s="126" t="s">
        <v>65</v>
      </c>
      <c r="E176" s="126" t="s">
        <v>84</v>
      </c>
      <c r="F176" s="127">
        <v>6</v>
      </c>
      <c r="G176" s="126" t="s">
        <v>68</v>
      </c>
      <c r="H176" s="126" t="s">
        <v>258</v>
      </c>
      <c r="I176" s="127"/>
      <c r="J176" s="97">
        <f>J177</f>
        <v>0</v>
      </c>
      <c r="K176" s="97">
        <f>K177</f>
        <v>0</v>
      </c>
    </row>
    <row r="177" spans="1:11" ht="15.75" hidden="1" customHeight="1" x14ac:dyDescent="0.25">
      <c r="A177" s="45" t="s">
        <v>101</v>
      </c>
      <c r="B177" s="126" t="s">
        <v>54</v>
      </c>
      <c r="C177" s="126" t="s">
        <v>84</v>
      </c>
      <c r="D177" s="126" t="s">
        <v>65</v>
      </c>
      <c r="E177" s="126" t="s">
        <v>84</v>
      </c>
      <c r="F177" s="127">
        <v>6</v>
      </c>
      <c r="G177" s="126" t="s">
        <v>68</v>
      </c>
      <c r="H177" s="126" t="s">
        <v>258</v>
      </c>
      <c r="I177" s="127">
        <v>410</v>
      </c>
      <c r="J177" s="97"/>
      <c r="K177" s="97"/>
    </row>
    <row r="178" spans="1:11" x14ac:dyDescent="0.25">
      <c r="A178" s="45" t="s">
        <v>80</v>
      </c>
      <c r="B178" s="126" t="s">
        <v>54</v>
      </c>
      <c r="C178" s="126" t="s">
        <v>84</v>
      </c>
      <c r="D178" s="127" t="s">
        <v>65</v>
      </c>
      <c r="E178" s="126" t="s">
        <v>81</v>
      </c>
      <c r="F178" s="127">
        <v>0</v>
      </c>
      <c r="G178" s="126" t="s">
        <v>68</v>
      </c>
      <c r="H178" s="126" t="s">
        <v>69</v>
      </c>
      <c r="I178" s="127"/>
      <c r="J178" s="97">
        <f t="shared" ref="J178:K180" si="12">J179</f>
        <v>1181098.04</v>
      </c>
      <c r="K178" s="97">
        <f t="shared" si="12"/>
        <v>1157476.0900000001</v>
      </c>
    </row>
    <row r="179" spans="1:11" x14ac:dyDescent="0.25">
      <c r="A179" s="45" t="s">
        <v>207</v>
      </c>
      <c r="B179" s="126" t="s">
        <v>54</v>
      </c>
      <c r="C179" s="126" t="s">
        <v>84</v>
      </c>
      <c r="D179" s="127" t="s">
        <v>65</v>
      </c>
      <c r="E179" s="126" t="s">
        <v>81</v>
      </c>
      <c r="F179" s="127">
        <v>9</v>
      </c>
      <c r="G179" s="126" t="s">
        <v>68</v>
      </c>
      <c r="H179" s="126" t="s">
        <v>69</v>
      </c>
      <c r="I179" s="127"/>
      <c r="J179" s="97">
        <f t="shared" si="12"/>
        <v>1181098.04</v>
      </c>
      <c r="K179" s="97">
        <f t="shared" si="12"/>
        <v>1157476.0900000001</v>
      </c>
    </row>
    <row r="180" spans="1:11" ht="47.25" x14ac:dyDescent="0.25">
      <c r="A180" s="45" t="s">
        <v>259</v>
      </c>
      <c r="B180" s="126" t="s">
        <v>54</v>
      </c>
      <c r="C180" s="126" t="s">
        <v>84</v>
      </c>
      <c r="D180" s="127" t="s">
        <v>65</v>
      </c>
      <c r="E180" s="126" t="s">
        <v>81</v>
      </c>
      <c r="F180" s="127">
        <v>9</v>
      </c>
      <c r="G180" s="126" t="s">
        <v>68</v>
      </c>
      <c r="H180" s="126" t="s">
        <v>260</v>
      </c>
      <c r="I180" s="127"/>
      <c r="J180" s="97">
        <f t="shared" si="12"/>
        <v>1181098.04</v>
      </c>
      <c r="K180" s="97">
        <f t="shared" si="12"/>
        <v>1157476.0900000001</v>
      </c>
    </row>
    <row r="181" spans="1:11" ht="47.25" x14ac:dyDescent="0.25">
      <c r="A181" s="45" t="s">
        <v>75</v>
      </c>
      <c r="B181" s="126" t="s">
        <v>54</v>
      </c>
      <c r="C181" s="126" t="s">
        <v>84</v>
      </c>
      <c r="D181" s="127" t="s">
        <v>65</v>
      </c>
      <c r="E181" s="126" t="s">
        <v>81</v>
      </c>
      <c r="F181" s="127">
        <v>9</v>
      </c>
      <c r="G181" s="126" t="s">
        <v>68</v>
      </c>
      <c r="H181" s="126" t="s">
        <v>260</v>
      </c>
      <c r="I181" s="127">
        <v>240</v>
      </c>
      <c r="J181" s="97">
        <v>1181098.04</v>
      </c>
      <c r="K181" s="97">
        <v>1157476.0900000001</v>
      </c>
    </row>
    <row r="182" spans="1:11" x14ac:dyDescent="0.25">
      <c r="A182" s="44" t="s">
        <v>119</v>
      </c>
      <c r="B182" s="126" t="s">
        <v>54</v>
      </c>
      <c r="C182" s="126" t="s">
        <v>84</v>
      </c>
      <c r="D182" s="127" t="s">
        <v>72</v>
      </c>
      <c r="E182" s="126" t="s">
        <v>134</v>
      </c>
      <c r="F182" s="127"/>
      <c r="G182" s="126"/>
      <c r="H182" s="126"/>
      <c r="I182" s="127"/>
      <c r="J182" s="96">
        <f>J183+J208+J219</f>
        <v>40443242.550000004</v>
      </c>
      <c r="K182" s="96">
        <f>K183+K208+K219</f>
        <v>41258336.310000002</v>
      </c>
    </row>
    <row r="183" spans="1:11" ht="63" x14ac:dyDescent="0.25">
      <c r="A183" s="44" t="s">
        <v>230</v>
      </c>
      <c r="B183" s="126" t="s">
        <v>54</v>
      </c>
      <c r="C183" s="126" t="s">
        <v>84</v>
      </c>
      <c r="D183" s="126" t="s">
        <v>72</v>
      </c>
      <c r="E183" s="126" t="s">
        <v>72</v>
      </c>
      <c r="F183" s="127">
        <v>0</v>
      </c>
      <c r="G183" s="126" t="s">
        <v>68</v>
      </c>
      <c r="H183" s="126" t="s">
        <v>69</v>
      </c>
      <c r="I183" s="127"/>
      <c r="J183" s="97">
        <f>J184+J191</f>
        <v>39892549.310000002</v>
      </c>
      <c r="K183" s="97">
        <f>K184+K191</f>
        <v>41258336.310000002</v>
      </c>
    </row>
    <row r="184" spans="1:11" ht="31.5" x14ac:dyDescent="0.25">
      <c r="A184" s="45" t="s">
        <v>261</v>
      </c>
      <c r="B184" s="126" t="s">
        <v>54</v>
      </c>
      <c r="C184" s="126" t="s">
        <v>84</v>
      </c>
      <c r="D184" s="126" t="s">
        <v>72</v>
      </c>
      <c r="E184" s="126" t="s">
        <v>72</v>
      </c>
      <c r="F184" s="127">
        <v>2</v>
      </c>
      <c r="G184" s="126" t="s">
        <v>68</v>
      </c>
      <c r="H184" s="126" t="s">
        <v>69</v>
      </c>
      <c r="I184" s="127"/>
      <c r="J184" s="97">
        <f>J185+J187+J189</f>
        <v>9428078.8399999999</v>
      </c>
      <c r="K184" s="97">
        <f>K185+K187+K189</f>
        <v>9539500.0300000012</v>
      </c>
    </row>
    <row r="185" spans="1:11" hidden="1" x14ac:dyDescent="0.25">
      <c r="A185" s="45" t="s">
        <v>262</v>
      </c>
      <c r="B185" s="126" t="s">
        <v>54</v>
      </c>
      <c r="C185" s="126" t="s">
        <v>84</v>
      </c>
      <c r="D185" s="126" t="s">
        <v>72</v>
      </c>
      <c r="E185" s="126" t="s">
        <v>72</v>
      </c>
      <c r="F185" s="127">
        <v>2</v>
      </c>
      <c r="G185" s="126" t="s">
        <v>68</v>
      </c>
      <c r="H185" s="126" t="s">
        <v>255</v>
      </c>
      <c r="I185" s="127"/>
      <c r="J185" s="97">
        <f>J186</f>
        <v>0</v>
      </c>
      <c r="K185" s="97">
        <f>K186</f>
        <v>0</v>
      </c>
    </row>
    <row r="186" spans="1:11" hidden="1" x14ac:dyDescent="0.25">
      <c r="A186" s="45" t="s">
        <v>101</v>
      </c>
      <c r="B186" s="126" t="s">
        <v>54</v>
      </c>
      <c r="C186" s="126" t="s">
        <v>84</v>
      </c>
      <c r="D186" s="126" t="s">
        <v>72</v>
      </c>
      <c r="E186" s="126" t="s">
        <v>72</v>
      </c>
      <c r="F186" s="127">
        <v>2</v>
      </c>
      <c r="G186" s="126" t="s">
        <v>68</v>
      </c>
      <c r="H186" s="126" t="s">
        <v>255</v>
      </c>
      <c r="I186" s="127">
        <v>410</v>
      </c>
      <c r="J186" s="97"/>
      <c r="K186" s="97"/>
    </row>
    <row r="187" spans="1:11" ht="31.5" x14ac:dyDescent="0.25">
      <c r="A187" s="45" t="s">
        <v>263</v>
      </c>
      <c r="B187" s="126" t="s">
        <v>54</v>
      </c>
      <c r="C187" s="126" t="s">
        <v>84</v>
      </c>
      <c r="D187" s="126" t="s">
        <v>72</v>
      </c>
      <c r="E187" s="126" t="s">
        <v>72</v>
      </c>
      <c r="F187" s="127">
        <v>2</v>
      </c>
      <c r="G187" s="126" t="s">
        <v>68</v>
      </c>
      <c r="H187" s="126" t="s">
        <v>264</v>
      </c>
      <c r="I187" s="127"/>
      <c r="J187" s="97">
        <f>J188</f>
        <v>7428078.8399999999</v>
      </c>
      <c r="K187" s="97">
        <f>K188</f>
        <v>7539500.0300000003</v>
      </c>
    </row>
    <row r="188" spans="1:11" ht="47.25" x14ac:dyDescent="0.25">
      <c r="A188" s="45" t="s">
        <v>75</v>
      </c>
      <c r="B188" s="126" t="s">
        <v>54</v>
      </c>
      <c r="C188" s="126" t="s">
        <v>84</v>
      </c>
      <c r="D188" s="126" t="s">
        <v>72</v>
      </c>
      <c r="E188" s="126" t="s">
        <v>72</v>
      </c>
      <c r="F188" s="127">
        <v>2</v>
      </c>
      <c r="G188" s="126" t="s">
        <v>68</v>
      </c>
      <c r="H188" s="126" t="s">
        <v>264</v>
      </c>
      <c r="I188" s="127">
        <v>240</v>
      </c>
      <c r="J188" s="97">
        <v>7428078.8399999999</v>
      </c>
      <c r="K188" s="97">
        <v>7539500.0300000003</v>
      </c>
    </row>
    <row r="189" spans="1:11" ht="31.5" x14ac:dyDescent="0.25">
      <c r="A189" s="45" t="s">
        <v>265</v>
      </c>
      <c r="B189" s="126" t="s">
        <v>54</v>
      </c>
      <c r="C189" s="126" t="s">
        <v>84</v>
      </c>
      <c r="D189" s="126" t="s">
        <v>72</v>
      </c>
      <c r="E189" s="126" t="s">
        <v>72</v>
      </c>
      <c r="F189" s="127">
        <v>2</v>
      </c>
      <c r="G189" s="126" t="s">
        <v>68</v>
      </c>
      <c r="H189" s="126" t="s">
        <v>266</v>
      </c>
      <c r="I189" s="127"/>
      <c r="J189" s="97">
        <f>J190</f>
        <v>2000000</v>
      </c>
      <c r="K189" s="97">
        <f>K190</f>
        <v>2000000</v>
      </c>
    </row>
    <row r="190" spans="1:11" ht="47.25" x14ac:dyDescent="0.25">
      <c r="A190" s="45" t="s">
        <v>75</v>
      </c>
      <c r="B190" s="126" t="s">
        <v>54</v>
      </c>
      <c r="C190" s="126" t="s">
        <v>84</v>
      </c>
      <c r="D190" s="126" t="s">
        <v>72</v>
      </c>
      <c r="E190" s="126" t="s">
        <v>72</v>
      </c>
      <c r="F190" s="127">
        <v>2</v>
      </c>
      <c r="G190" s="126" t="s">
        <v>68</v>
      </c>
      <c r="H190" s="126" t="s">
        <v>266</v>
      </c>
      <c r="I190" s="127">
        <v>240</v>
      </c>
      <c r="J190" s="97">
        <v>2000000</v>
      </c>
      <c r="K190" s="97">
        <v>2000000</v>
      </c>
    </row>
    <row r="191" spans="1:11" ht="47.25" x14ac:dyDescent="0.25">
      <c r="A191" s="45" t="s">
        <v>267</v>
      </c>
      <c r="B191" s="126" t="s">
        <v>54</v>
      </c>
      <c r="C191" s="126" t="s">
        <v>84</v>
      </c>
      <c r="D191" s="126" t="s">
        <v>72</v>
      </c>
      <c r="E191" s="126" t="s">
        <v>72</v>
      </c>
      <c r="F191" s="127">
        <v>3</v>
      </c>
      <c r="G191" s="126" t="s">
        <v>68</v>
      </c>
      <c r="H191" s="126" t="s">
        <v>69</v>
      </c>
      <c r="I191" s="127"/>
      <c r="J191" s="97">
        <f>J192+J194+J196+J198+J200+J202+J204+J206</f>
        <v>30464470.470000003</v>
      </c>
      <c r="K191" s="97">
        <f>K192+K194+K196+K198+K200+K202+K204+K206</f>
        <v>31718836.279999997</v>
      </c>
    </row>
    <row r="192" spans="1:11" x14ac:dyDescent="0.25">
      <c r="A192" s="45" t="s">
        <v>268</v>
      </c>
      <c r="B192" s="126" t="s">
        <v>54</v>
      </c>
      <c r="C192" s="126" t="s">
        <v>84</v>
      </c>
      <c r="D192" s="126" t="s">
        <v>72</v>
      </c>
      <c r="E192" s="126" t="s">
        <v>72</v>
      </c>
      <c r="F192" s="127">
        <v>3</v>
      </c>
      <c r="G192" s="126" t="s">
        <v>68</v>
      </c>
      <c r="H192" s="126" t="s">
        <v>269</v>
      </c>
      <c r="I192" s="127"/>
      <c r="J192" s="97">
        <f>J193</f>
        <v>520000</v>
      </c>
      <c r="K192" s="97">
        <f>K193</f>
        <v>520000</v>
      </c>
    </row>
    <row r="193" spans="1:11" ht="47.25" x14ac:dyDescent="0.25">
      <c r="A193" s="45" t="s">
        <v>75</v>
      </c>
      <c r="B193" s="126" t="s">
        <v>54</v>
      </c>
      <c r="C193" s="126" t="s">
        <v>84</v>
      </c>
      <c r="D193" s="126" t="s">
        <v>72</v>
      </c>
      <c r="E193" s="126" t="s">
        <v>72</v>
      </c>
      <c r="F193" s="127">
        <v>3</v>
      </c>
      <c r="G193" s="126" t="s">
        <v>68</v>
      </c>
      <c r="H193" s="126" t="s">
        <v>269</v>
      </c>
      <c r="I193" s="127">
        <v>240</v>
      </c>
      <c r="J193" s="97">
        <v>520000</v>
      </c>
      <c r="K193" s="97">
        <v>520000</v>
      </c>
    </row>
    <row r="194" spans="1:11" x14ac:dyDescent="0.25">
      <c r="A194" s="45" t="s">
        <v>270</v>
      </c>
      <c r="B194" s="126" t="s">
        <v>54</v>
      </c>
      <c r="C194" s="126" t="s">
        <v>84</v>
      </c>
      <c r="D194" s="126" t="s">
        <v>72</v>
      </c>
      <c r="E194" s="126" t="s">
        <v>72</v>
      </c>
      <c r="F194" s="127">
        <v>3</v>
      </c>
      <c r="G194" s="126" t="s">
        <v>68</v>
      </c>
      <c r="H194" s="126" t="s">
        <v>271</v>
      </c>
      <c r="I194" s="127"/>
      <c r="J194" s="97">
        <f>J195</f>
        <v>600000</v>
      </c>
      <c r="K194" s="97">
        <f>K195</f>
        <v>600000</v>
      </c>
    </row>
    <row r="195" spans="1:11" ht="47.25" x14ac:dyDescent="0.25">
      <c r="A195" s="45" t="s">
        <v>75</v>
      </c>
      <c r="B195" s="126" t="s">
        <v>54</v>
      </c>
      <c r="C195" s="126" t="s">
        <v>84</v>
      </c>
      <c r="D195" s="126" t="s">
        <v>72</v>
      </c>
      <c r="E195" s="126" t="s">
        <v>72</v>
      </c>
      <c r="F195" s="127">
        <v>3</v>
      </c>
      <c r="G195" s="126" t="s">
        <v>68</v>
      </c>
      <c r="H195" s="126" t="s">
        <v>271</v>
      </c>
      <c r="I195" s="127">
        <v>240</v>
      </c>
      <c r="J195" s="97">
        <v>600000</v>
      </c>
      <c r="K195" s="97">
        <v>600000</v>
      </c>
    </row>
    <row r="196" spans="1:11" x14ac:dyDescent="0.25">
      <c r="A196" s="45" t="s">
        <v>272</v>
      </c>
      <c r="B196" s="126" t="s">
        <v>54</v>
      </c>
      <c r="C196" s="126" t="s">
        <v>84</v>
      </c>
      <c r="D196" s="126" t="s">
        <v>72</v>
      </c>
      <c r="E196" s="126" t="s">
        <v>72</v>
      </c>
      <c r="F196" s="127">
        <v>3</v>
      </c>
      <c r="G196" s="126" t="s">
        <v>68</v>
      </c>
      <c r="H196" s="127">
        <v>29220</v>
      </c>
      <c r="I196" s="127"/>
      <c r="J196" s="97">
        <f>J197</f>
        <v>2629545.98</v>
      </c>
      <c r="K196" s="97">
        <f>K197</f>
        <v>2682136.9</v>
      </c>
    </row>
    <row r="197" spans="1:11" ht="47.25" x14ac:dyDescent="0.25">
      <c r="A197" s="45" t="s">
        <v>75</v>
      </c>
      <c r="B197" s="126" t="s">
        <v>54</v>
      </c>
      <c r="C197" s="126" t="s">
        <v>84</v>
      </c>
      <c r="D197" s="126" t="s">
        <v>72</v>
      </c>
      <c r="E197" s="126" t="s">
        <v>72</v>
      </c>
      <c r="F197" s="127">
        <v>3</v>
      </c>
      <c r="G197" s="126" t="s">
        <v>68</v>
      </c>
      <c r="H197" s="127">
        <v>29220</v>
      </c>
      <c r="I197" s="127">
        <v>240</v>
      </c>
      <c r="J197" s="97">
        <v>2629545.98</v>
      </c>
      <c r="K197" s="97">
        <v>2682136.9</v>
      </c>
    </row>
    <row r="198" spans="1:11" x14ac:dyDescent="0.25">
      <c r="A198" s="45" t="s">
        <v>273</v>
      </c>
      <c r="B198" s="127">
        <v>871</v>
      </c>
      <c r="C198" s="126" t="s">
        <v>84</v>
      </c>
      <c r="D198" s="126" t="s">
        <v>72</v>
      </c>
      <c r="E198" s="126" t="s">
        <v>72</v>
      </c>
      <c r="F198" s="127">
        <v>3</v>
      </c>
      <c r="G198" s="126" t="s">
        <v>68</v>
      </c>
      <c r="H198" s="126" t="s">
        <v>274</v>
      </c>
      <c r="I198" s="127"/>
      <c r="J198" s="97">
        <f>J199</f>
        <v>14342640.890000001</v>
      </c>
      <c r="K198" s="97">
        <f>K199</f>
        <v>15834666.18</v>
      </c>
    </row>
    <row r="199" spans="1:11" ht="47.25" x14ac:dyDescent="0.25">
      <c r="A199" s="45" t="s">
        <v>75</v>
      </c>
      <c r="B199" s="127">
        <v>871</v>
      </c>
      <c r="C199" s="126" t="s">
        <v>84</v>
      </c>
      <c r="D199" s="126" t="s">
        <v>72</v>
      </c>
      <c r="E199" s="126" t="s">
        <v>72</v>
      </c>
      <c r="F199" s="127">
        <v>3</v>
      </c>
      <c r="G199" s="126" t="s">
        <v>68</v>
      </c>
      <c r="H199" s="126" t="s">
        <v>274</v>
      </c>
      <c r="I199" s="127">
        <v>240</v>
      </c>
      <c r="J199" s="97">
        <f>16340334.13-2393.24+4700-2000000</f>
        <v>14342640.890000001</v>
      </c>
      <c r="K199" s="97">
        <f>17834666.18-2000000</f>
        <v>15834666.18</v>
      </c>
    </row>
    <row r="200" spans="1:11" ht="31.5" customHeight="1" x14ac:dyDescent="0.25">
      <c r="A200" s="45" t="s">
        <v>275</v>
      </c>
      <c r="B200" s="127">
        <v>871</v>
      </c>
      <c r="C200" s="126" t="s">
        <v>84</v>
      </c>
      <c r="D200" s="126" t="s">
        <v>72</v>
      </c>
      <c r="E200" s="126" t="s">
        <v>72</v>
      </c>
      <c r="F200" s="127">
        <v>3</v>
      </c>
      <c r="G200" s="126" t="s">
        <v>68</v>
      </c>
      <c r="H200" s="127">
        <v>29490</v>
      </c>
      <c r="I200" s="127"/>
      <c r="J200" s="97">
        <f>J201</f>
        <v>2372283.6</v>
      </c>
      <c r="K200" s="97">
        <f>K201</f>
        <v>2082033.2000000002</v>
      </c>
    </row>
    <row r="201" spans="1:11" ht="47.25" customHeight="1" x14ac:dyDescent="0.25">
      <c r="A201" s="45" t="s">
        <v>75</v>
      </c>
      <c r="B201" s="127">
        <v>871</v>
      </c>
      <c r="C201" s="126" t="s">
        <v>84</v>
      </c>
      <c r="D201" s="126" t="s">
        <v>72</v>
      </c>
      <c r="E201" s="126" t="s">
        <v>72</v>
      </c>
      <c r="F201" s="127">
        <v>3</v>
      </c>
      <c r="G201" s="126" t="s">
        <v>68</v>
      </c>
      <c r="H201" s="127">
        <v>29490</v>
      </c>
      <c r="I201" s="127">
        <v>240</v>
      </c>
      <c r="J201" s="97">
        <f>2000000+372283.6</f>
        <v>2372283.6</v>
      </c>
      <c r="K201" s="97">
        <f>5000000-2917966.8</f>
        <v>2082033.2000000002</v>
      </c>
    </row>
    <row r="202" spans="1:11" x14ac:dyDescent="0.25">
      <c r="A202" s="45" t="s">
        <v>276</v>
      </c>
      <c r="B202" s="127">
        <v>871</v>
      </c>
      <c r="C202" s="126" t="s">
        <v>84</v>
      </c>
      <c r="D202" s="126" t="s">
        <v>72</v>
      </c>
      <c r="E202" s="126" t="s">
        <v>72</v>
      </c>
      <c r="F202" s="127">
        <v>3</v>
      </c>
      <c r="G202" s="126" t="s">
        <v>68</v>
      </c>
      <c r="H202" s="126" t="s">
        <v>277</v>
      </c>
      <c r="I202" s="127"/>
      <c r="J202" s="97">
        <f>J203</f>
        <v>9000000</v>
      </c>
      <c r="K202" s="97">
        <f>K203</f>
        <v>9000000</v>
      </c>
    </row>
    <row r="203" spans="1:11" ht="47.25" x14ac:dyDescent="0.25">
      <c r="A203" s="45" t="s">
        <v>75</v>
      </c>
      <c r="B203" s="127">
        <v>871</v>
      </c>
      <c r="C203" s="126" t="s">
        <v>84</v>
      </c>
      <c r="D203" s="126" t="s">
        <v>72</v>
      </c>
      <c r="E203" s="126" t="s">
        <v>72</v>
      </c>
      <c r="F203" s="127">
        <v>3</v>
      </c>
      <c r="G203" s="126" t="s">
        <v>68</v>
      </c>
      <c r="H203" s="126" t="s">
        <v>277</v>
      </c>
      <c r="I203" s="127">
        <v>240</v>
      </c>
      <c r="J203" s="97">
        <f>7000000+2000000</f>
        <v>9000000</v>
      </c>
      <c r="K203" s="97">
        <f>7000000+2000000</f>
        <v>9000000</v>
      </c>
    </row>
    <row r="204" spans="1:11" ht="31.5" hidden="1" x14ac:dyDescent="0.25">
      <c r="A204" s="45" t="s">
        <v>278</v>
      </c>
      <c r="B204" s="127">
        <v>871</v>
      </c>
      <c r="C204" s="126" t="s">
        <v>84</v>
      </c>
      <c r="D204" s="126" t="s">
        <v>72</v>
      </c>
      <c r="E204" s="126" t="s">
        <v>72</v>
      </c>
      <c r="F204" s="127">
        <v>3</v>
      </c>
      <c r="G204" s="126" t="s">
        <v>68</v>
      </c>
      <c r="H204" s="126" t="s">
        <v>279</v>
      </c>
      <c r="I204" s="127"/>
      <c r="J204" s="97">
        <f>J205</f>
        <v>0</v>
      </c>
      <c r="K204" s="97">
        <f>K205</f>
        <v>0</v>
      </c>
    </row>
    <row r="205" spans="1:11" ht="47.25" hidden="1" x14ac:dyDescent="0.25">
      <c r="A205" s="45" t="s">
        <v>75</v>
      </c>
      <c r="B205" s="127">
        <v>871</v>
      </c>
      <c r="C205" s="126" t="s">
        <v>84</v>
      </c>
      <c r="D205" s="126" t="s">
        <v>72</v>
      </c>
      <c r="E205" s="126" t="s">
        <v>72</v>
      </c>
      <c r="F205" s="127">
        <v>3</v>
      </c>
      <c r="G205" s="126" t="s">
        <v>68</v>
      </c>
      <c r="H205" s="126" t="s">
        <v>279</v>
      </c>
      <c r="I205" s="127">
        <v>240</v>
      </c>
      <c r="J205" s="97">
        <v>0</v>
      </c>
      <c r="K205" s="97">
        <v>0</v>
      </c>
    </row>
    <row r="206" spans="1:11" x14ac:dyDescent="0.25">
      <c r="A206" s="45" t="s">
        <v>280</v>
      </c>
      <c r="B206" s="127">
        <v>871</v>
      </c>
      <c r="C206" s="126" t="s">
        <v>84</v>
      </c>
      <c r="D206" s="126" t="s">
        <v>72</v>
      </c>
      <c r="E206" s="126" t="s">
        <v>72</v>
      </c>
      <c r="F206" s="127">
        <v>3</v>
      </c>
      <c r="G206" s="126" t="s">
        <v>68</v>
      </c>
      <c r="H206" s="126" t="s">
        <v>281</v>
      </c>
      <c r="I206" s="127"/>
      <c r="J206" s="97">
        <f>J207</f>
        <v>1000000</v>
      </c>
      <c r="K206" s="97">
        <f>K207</f>
        <v>1000000</v>
      </c>
    </row>
    <row r="207" spans="1:11" ht="47.25" x14ac:dyDescent="0.25">
      <c r="A207" s="45" t="s">
        <v>75</v>
      </c>
      <c r="B207" s="127">
        <v>871</v>
      </c>
      <c r="C207" s="126" t="s">
        <v>84</v>
      </c>
      <c r="D207" s="126" t="s">
        <v>72</v>
      </c>
      <c r="E207" s="126" t="s">
        <v>72</v>
      </c>
      <c r="F207" s="127">
        <v>3</v>
      </c>
      <c r="G207" s="126" t="s">
        <v>68</v>
      </c>
      <c r="H207" s="126" t="s">
        <v>281</v>
      </c>
      <c r="I207" s="127">
        <v>240</v>
      </c>
      <c r="J207" s="97">
        <v>1000000</v>
      </c>
      <c r="K207" s="97">
        <v>1000000</v>
      </c>
    </row>
    <row r="208" spans="1:11" ht="63" x14ac:dyDescent="0.25">
      <c r="A208" s="45" t="s">
        <v>485</v>
      </c>
      <c r="B208" s="127">
        <v>871</v>
      </c>
      <c r="C208" s="126" t="s">
        <v>84</v>
      </c>
      <c r="D208" s="126" t="s">
        <v>72</v>
      </c>
      <c r="E208" s="126" t="s">
        <v>110</v>
      </c>
      <c r="F208" s="127">
        <v>0</v>
      </c>
      <c r="G208" s="126" t="s">
        <v>68</v>
      </c>
      <c r="H208" s="126" t="s">
        <v>69</v>
      </c>
      <c r="I208" s="127"/>
      <c r="J208" s="97">
        <f>J209</f>
        <v>2393.2399999999998</v>
      </c>
      <c r="K208" s="97">
        <f>K209</f>
        <v>0</v>
      </c>
    </row>
    <row r="209" spans="1:11" ht="63" x14ac:dyDescent="0.25">
      <c r="A209" s="45" t="s">
        <v>486</v>
      </c>
      <c r="B209" s="127">
        <v>871</v>
      </c>
      <c r="C209" s="126" t="s">
        <v>84</v>
      </c>
      <c r="D209" s="126" t="s">
        <v>72</v>
      </c>
      <c r="E209" s="126" t="s">
        <v>110</v>
      </c>
      <c r="F209" s="127">
        <v>1</v>
      </c>
      <c r="G209" s="126" t="s">
        <v>68</v>
      </c>
      <c r="H209" s="126" t="s">
        <v>69</v>
      </c>
      <c r="I209" s="127"/>
      <c r="J209" s="97">
        <f>J210+J213+J216</f>
        <v>2393.2399999999998</v>
      </c>
      <c r="K209" s="97">
        <f>K210+K213+K216</f>
        <v>0</v>
      </c>
    </row>
    <row r="210" spans="1:11" ht="31.5" hidden="1" x14ac:dyDescent="0.25">
      <c r="A210" s="45" t="s">
        <v>284</v>
      </c>
      <c r="B210" s="127">
        <v>871</v>
      </c>
      <c r="C210" s="126" t="s">
        <v>84</v>
      </c>
      <c r="D210" s="126" t="s">
        <v>72</v>
      </c>
      <c r="E210" s="126" t="s">
        <v>110</v>
      </c>
      <c r="F210" s="127">
        <v>1</v>
      </c>
      <c r="G210" s="126" t="s">
        <v>65</v>
      </c>
      <c r="H210" s="126" t="s">
        <v>69</v>
      </c>
      <c r="I210" s="127"/>
      <c r="J210" s="97">
        <f>J211</f>
        <v>0</v>
      </c>
      <c r="K210" s="97">
        <f>K211</f>
        <v>0</v>
      </c>
    </row>
    <row r="211" spans="1:11" ht="110.25" hidden="1" x14ac:dyDescent="0.25">
      <c r="A211" s="45" t="s">
        <v>491</v>
      </c>
      <c r="B211" s="127">
        <v>871</v>
      </c>
      <c r="C211" s="126" t="s">
        <v>84</v>
      </c>
      <c r="D211" s="126" t="s">
        <v>72</v>
      </c>
      <c r="E211" s="126" t="s">
        <v>110</v>
      </c>
      <c r="F211" s="127">
        <v>1</v>
      </c>
      <c r="G211" s="126" t="s">
        <v>65</v>
      </c>
      <c r="H211" s="126" t="s">
        <v>286</v>
      </c>
      <c r="I211" s="127"/>
      <c r="J211" s="97">
        <f>J212</f>
        <v>0</v>
      </c>
      <c r="K211" s="97">
        <f>K212</f>
        <v>0</v>
      </c>
    </row>
    <row r="212" spans="1:11" ht="47.25" hidden="1" x14ac:dyDescent="0.25">
      <c r="A212" s="45" t="s">
        <v>75</v>
      </c>
      <c r="B212" s="127">
        <v>871</v>
      </c>
      <c r="C212" s="126" t="s">
        <v>84</v>
      </c>
      <c r="D212" s="126" t="s">
        <v>72</v>
      </c>
      <c r="E212" s="126" t="s">
        <v>110</v>
      </c>
      <c r="F212" s="127">
        <v>1</v>
      </c>
      <c r="G212" s="126" t="s">
        <v>65</v>
      </c>
      <c r="H212" s="126" t="s">
        <v>286</v>
      </c>
      <c r="I212" s="127">
        <v>240</v>
      </c>
      <c r="J212" s="97"/>
      <c r="K212" s="97"/>
    </row>
    <row r="213" spans="1:11" ht="31.5" hidden="1" x14ac:dyDescent="0.25">
      <c r="A213" s="45" t="s">
        <v>287</v>
      </c>
      <c r="B213" s="127">
        <v>871</v>
      </c>
      <c r="C213" s="126" t="s">
        <v>84</v>
      </c>
      <c r="D213" s="126" t="s">
        <v>72</v>
      </c>
      <c r="E213" s="126" t="s">
        <v>110</v>
      </c>
      <c r="F213" s="127">
        <v>1</v>
      </c>
      <c r="G213" s="126" t="s">
        <v>66</v>
      </c>
      <c r="H213" s="126" t="s">
        <v>69</v>
      </c>
      <c r="I213" s="127"/>
      <c r="J213" s="97">
        <f>J214</f>
        <v>0</v>
      </c>
      <c r="K213" s="97">
        <f>K214</f>
        <v>0</v>
      </c>
    </row>
    <row r="214" spans="1:11" ht="110.25" hidden="1" x14ac:dyDescent="0.25">
      <c r="A214" s="45" t="s">
        <v>285</v>
      </c>
      <c r="B214" s="127">
        <v>871</v>
      </c>
      <c r="C214" s="126" t="s">
        <v>84</v>
      </c>
      <c r="D214" s="126" t="s">
        <v>72</v>
      </c>
      <c r="E214" s="126" t="s">
        <v>110</v>
      </c>
      <c r="F214" s="127">
        <v>1</v>
      </c>
      <c r="G214" s="126" t="s">
        <v>66</v>
      </c>
      <c r="H214" s="126" t="s">
        <v>286</v>
      </c>
      <c r="I214" s="127"/>
      <c r="J214" s="97">
        <f>J215</f>
        <v>0</v>
      </c>
      <c r="K214" s="97">
        <f>K215</f>
        <v>0</v>
      </c>
    </row>
    <row r="215" spans="1:11" ht="47.25" hidden="1" x14ac:dyDescent="0.25">
      <c r="A215" s="45" t="s">
        <v>75</v>
      </c>
      <c r="B215" s="127">
        <v>871</v>
      </c>
      <c r="C215" s="126" t="s">
        <v>84</v>
      </c>
      <c r="D215" s="126" t="s">
        <v>72</v>
      </c>
      <c r="E215" s="126" t="s">
        <v>110</v>
      </c>
      <c r="F215" s="127">
        <v>1</v>
      </c>
      <c r="G215" s="126" t="s">
        <v>66</v>
      </c>
      <c r="H215" s="126" t="s">
        <v>286</v>
      </c>
      <c r="I215" s="127">
        <v>240</v>
      </c>
      <c r="J215" s="97"/>
      <c r="K215" s="97"/>
    </row>
    <row r="216" spans="1:11" ht="126" x14ac:dyDescent="0.25">
      <c r="A216" s="45" t="s">
        <v>288</v>
      </c>
      <c r="B216" s="127">
        <v>871</v>
      </c>
      <c r="C216" s="126" t="s">
        <v>84</v>
      </c>
      <c r="D216" s="126" t="s">
        <v>72</v>
      </c>
      <c r="E216" s="126" t="s">
        <v>110</v>
      </c>
      <c r="F216" s="127">
        <v>1</v>
      </c>
      <c r="G216" s="126" t="s">
        <v>120</v>
      </c>
      <c r="H216" s="126" t="s">
        <v>69</v>
      </c>
      <c r="I216" s="127"/>
      <c r="J216" s="97">
        <f>J217</f>
        <v>2393.2399999999998</v>
      </c>
      <c r="K216" s="97">
        <f>K217</f>
        <v>0</v>
      </c>
    </row>
    <row r="217" spans="1:11" ht="110.25" x14ac:dyDescent="0.25">
      <c r="A217" s="45" t="s">
        <v>285</v>
      </c>
      <c r="B217" s="127">
        <v>871</v>
      </c>
      <c r="C217" s="126" t="s">
        <v>84</v>
      </c>
      <c r="D217" s="126" t="s">
        <v>72</v>
      </c>
      <c r="E217" s="126" t="s">
        <v>110</v>
      </c>
      <c r="F217" s="127">
        <v>1</v>
      </c>
      <c r="G217" s="126" t="s">
        <v>120</v>
      </c>
      <c r="H217" s="126" t="s">
        <v>121</v>
      </c>
      <c r="I217" s="127"/>
      <c r="J217" s="97">
        <f>J218</f>
        <v>2393.2399999999998</v>
      </c>
      <c r="K217" s="97">
        <f>K218</f>
        <v>0</v>
      </c>
    </row>
    <row r="218" spans="1:11" x14ac:dyDescent="0.25">
      <c r="A218" s="49" t="s">
        <v>157</v>
      </c>
      <c r="B218" s="127">
        <v>871</v>
      </c>
      <c r="C218" s="126" t="s">
        <v>84</v>
      </c>
      <c r="D218" s="126" t="s">
        <v>72</v>
      </c>
      <c r="E218" s="126" t="s">
        <v>110</v>
      </c>
      <c r="F218" s="127">
        <v>1</v>
      </c>
      <c r="G218" s="126" t="s">
        <v>120</v>
      </c>
      <c r="H218" s="126" t="s">
        <v>121</v>
      </c>
      <c r="I218" s="127">
        <v>540</v>
      </c>
      <c r="J218" s="97">
        <v>2393.2399999999998</v>
      </c>
      <c r="K218" s="97">
        <v>0</v>
      </c>
    </row>
    <row r="219" spans="1:11" ht="15.75" customHeight="1" x14ac:dyDescent="0.25">
      <c r="A219" s="45" t="s">
        <v>157</v>
      </c>
      <c r="B219" s="126" t="s">
        <v>54</v>
      </c>
      <c r="C219" s="126" t="s">
        <v>84</v>
      </c>
      <c r="D219" s="126" t="s">
        <v>72</v>
      </c>
      <c r="E219" s="126" t="s">
        <v>154</v>
      </c>
      <c r="F219" s="126" t="s">
        <v>67</v>
      </c>
      <c r="G219" s="126" t="s">
        <v>68</v>
      </c>
      <c r="H219" s="126" t="s">
        <v>69</v>
      </c>
      <c r="I219" s="127"/>
      <c r="J219" s="97">
        <f t="shared" ref="J219:K221" si="13">J220</f>
        <v>548300</v>
      </c>
      <c r="K219" s="97">
        <f t="shared" si="13"/>
        <v>0</v>
      </c>
    </row>
    <row r="220" spans="1:11" ht="15.75" customHeight="1" x14ac:dyDescent="0.25">
      <c r="A220" s="45" t="s">
        <v>152</v>
      </c>
      <c r="B220" s="126" t="s">
        <v>54</v>
      </c>
      <c r="C220" s="126" t="s">
        <v>84</v>
      </c>
      <c r="D220" s="126" t="s">
        <v>72</v>
      </c>
      <c r="E220" s="126" t="s">
        <v>154</v>
      </c>
      <c r="F220" s="126" t="s">
        <v>73</v>
      </c>
      <c r="G220" s="126" t="s">
        <v>68</v>
      </c>
      <c r="H220" s="126" t="s">
        <v>69</v>
      </c>
      <c r="I220" s="127"/>
      <c r="J220" s="97">
        <f t="shared" si="13"/>
        <v>548300</v>
      </c>
      <c r="K220" s="97">
        <f t="shared" si="13"/>
        <v>0</v>
      </c>
    </row>
    <row r="221" spans="1:11" ht="15.75" customHeight="1" x14ac:dyDescent="0.25">
      <c r="A221" s="45" t="s">
        <v>422</v>
      </c>
      <c r="B221" s="126" t="s">
        <v>54</v>
      </c>
      <c r="C221" s="126" t="s">
        <v>84</v>
      </c>
      <c r="D221" s="126" t="s">
        <v>72</v>
      </c>
      <c r="E221" s="126">
        <v>97</v>
      </c>
      <c r="F221" s="127">
        <v>2</v>
      </c>
      <c r="G221" s="126" t="s">
        <v>68</v>
      </c>
      <c r="H221" s="127">
        <v>85200</v>
      </c>
      <c r="I221" s="126"/>
      <c r="J221" s="97">
        <f t="shared" si="13"/>
        <v>548300</v>
      </c>
      <c r="K221" s="97">
        <f t="shared" si="13"/>
        <v>0</v>
      </c>
    </row>
    <row r="222" spans="1:11" ht="15.75" customHeight="1" x14ac:dyDescent="0.25">
      <c r="A222" s="48" t="s">
        <v>157</v>
      </c>
      <c r="B222" s="126" t="s">
        <v>54</v>
      </c>
      <c r="C222" s="126" t="s">
        <v>84</v>
      </c>
      <c r="D222" s="126" t="s">
        <v>72</v>
      </c>
      <c r="E222" s="126">
        <v>97</v>
      </c>
      <c r="F222" s="127">
        <v>2</v>
      </c>
      <c r="G222" s="126" t="s">
        <v>68</v>
      </c>
      <c r="H222" s="127">
        <v>85200</v>
      </c>
      <c r="I222" s="126" t="s">
        <v>423</v>
      </c>
      <c r="J222" s="97">
        <f>553000-4700</f>
        <v>548300</v>
      </c>
      <c r="K222" s="97">
        <v>0</v>
      </c>
    </row>
    <row r="223" spans="1:11" ht="31.5" x14ac:dyDescent="0.25">
      <c r="A223" s="45" t="s">
        <v>289</v>
      </c>
      <c r="B223" s="127">
        <v>871</v>
      </c>
      <c r="C223" s="126" t="s">
        <v>84</v>
      </c>
      <c r="D223" s="126" t="s">
        <v>84</v>
      </c>
      <c r="E223" s="126" t="s">
        <v>68</v>
      </c>
      <c r="F223" s="127">
        <v>0</v>
      </c>
      <c r="G223" s="126" t="s">
        <v>68</v>
      </c>
      <c r="H223" s="126" t="s">
        <v>69</v>
      </c>
      <c r="I223" s="127"/>
      <c r="J223" s="97">
        <f>J224+J230</f>
        <v>26023782.75</v>
      </c>
      <c r="K223" s="97">
        <f>K224+K230</f>
        <v>26878561.259999998</v>
      </c>
    </row>
    <row r="224" spans="1:11" ht="63" x14ac:dyDescent="0.25">
      <c r="A224" s="44" t="s">
        <v>230</v>
      </c>
      <c r="B224" s="127">
        <v>871</v>
      </c>
      <c r="C224" s="126" t="s">
        <v>84</v>
      </c>
      <c r="D224" s="126" t="s">
        <v>84</v>
      </c>
      <c r="E224" s="126" t="s">
        <v>72</v>
      </c>
      <c r="F224" s="127">
        <v>0</v>
      </c>
      <c r="G224" s="126" t="s">
        <v>68</v>
      </c>
      <c r="H224" s="126" t="s">
        <v>69</v>
      </c>
      <c r="I224" s="127"/>
      <c r="J224" s="97">
        <f>J225</f>
        <v>25360782.75</v>
      </c>
      <c r="K224" s="97">
        <f>K225</f>
        <v>26215561.259999998</v>
      </c>
    </row>
    <row r="225" spans="1:11" x14ac:dyDescent="0.25">
      <c r="A225" s="45" t="s">
        <v>290</v>
      </c>
      <c r="B225" s="127">
        <v>871</v>
      </c>
      <c r="C225" s="126" t="s">
        <v>84</v>
      </c>
      <c r="D225" s="126" t="s">
        <v>84</v>
      </c>
      <c r="E225" s="126" t="s">
        <v>72</v>
      </c>
      <c r="F225" s="127">
        <v>4</v>
      </c>
      <c r="G225" s="126" t="s">
        <v>68</v>
      </c>
      <c r="H225" s="126" t="s">
        <v>69</v>
      </c>
      <c r="I225" s="127"/>
      <c r="J225" s="97">
        <f>J226</f>
        <v>25360782.75</v>
      </c>
      <c r="K225" s="97">
        <f>K226</f>
        <v>26215561.259999998</v>
      </c>
    </row>
    <row r="226" spans="1:11" ht="31.5" x14ac:dyDescent="0.25">
      <c r="A226" s="45" t="s">
        <v>291</v>
      </c>
      <c r="B226" s="127">
        <v>871</v>
      </c>
      <c r="C226" s="126" t="s">
        <v>84</v>
      </c>
      <c r="D226" s="126" t="s">
        <v>84</v>
      </c>
      <c r="E226" s="126" t="s">
        <v>72</v>
      </c>
      <c r="F226" s="127">
        <v>4</v>
      </c>
      <c r="G226" s="126" t="s">
        <v>68</v>
      </c>
      <c r="H226" s="126" t="s">
        <v>292</v>
      </c>
      <c r="I226" s="127"/>
      <c r="J226" s="97">
        <f>SUM(J227:J229)</f>
        <v>25360782.75</v>
      </c>
      <c r="K226" s="97">
        <f>SUM(K227:K229)</f>
        <v>26215561.259999998</v>
      </c>
    </row>
    <row r="227" spans="1:11" ht="31.5" x14ac:dyDescent="0.25">
      <c r="A227" s="44" t="s">
        <v>293</v>
      </c>
      <c r="B227" s="127">
        <v>871</v>
      </c>
      <c r="C227" s="126" t="s">
        <v>84</v>
      </c>
      <c r="D227" s="126" t="s">
        <v>84</v>
      </c>
      <c r="E227" s="126" t="s">
        <v>72</v>
      </c>
      <c r="F227" s="127">
        <v>4</v>
      </c>
      <c r="G227" s="126" t="s">
        <v>68</v>
      </c>
      <c r="H227" s="126" t="s">
        <v>292</v>
      </c>
      <c r="I227" s="127">
        <v>110</v>
      </c>
      <c r="J227" s="97">
        <v>19584161.530000001</v>
      </c>
      <c r="K227" s="97">
        <v>20367539.989999998</v>
      </c>
    </row>
    <row r="228" spans="1:11" ht="47.25" x14ac:dyDescent="0.25">
      <c r="A228" s="45" t="s">
        <v>75</v>
      </c>
      <c r="B228" s="127">
        <v>871</v>
      </c>
      <c r="C228" s="126" t="s">
        <v>84</v>
      </c>
      <c r="D228" s="126" t="s">
        <v>84</v>
      </c>
      <c r="E228" s="126" t="s">
        <v>72</v>
      </c>
      <c r="F228" s="127">
        <v>4</v>
      </c>
      <c r="G228" s="126" t="s">
        <v>68</v>
      </c>
      <c r="H228" s="126" t="s">
        <v>292</v>
      </c>
      <c r="I228" s="127">
        <v>240</v>
      </c>
      <c r="J228" s="97">
        <v>5726621.2199999997</v>
      </c>
      <c r="K228" s="97">
        <v>5798021.2699999996</v>
      </c>
    </row>
    <row r="229" spans="1:11" x14ac:dyDescent="0.25">
      <c r="A229" s="44" t="s">
        <v>77</v>
      </c>
      <c r="B229" s="127">
        <v>871</v>
      </c>
      <c r="C229" s="126" t="s">
        <v>84</v>
      </c>
      <c r="D229" s="126" t="s">
        <v>84</v>
      </c>
      <c r="E229" s="126" t="s">
        <v>72</v>
      </c>
      <c r="F229" s="127">
        <v>4</v>
      </c>
      <c r="G229" s="126" t="s">
        <v>68</v>
      </c>
      <c r="H229" s="126" t="s">
        <v>292</v>
      </c>
      <c r="I229" s="127">
        <v>850</v>
      </c>
      <c r="J229" s="97">
        <v>50000</v>
      </c>
      <c r="K229" s="97">
        <v>50000</v>
      </c>
    </row>
    <row r="230" spans="1:11" ht="63" x14ac:dyDescent="0.25">
      <c r="A230" s="44" t="s">
        <v>182</v>
      </c>
      <c r="B230" s="127">
        <v>871</v>
      </c>
      <c r="C230" s="126" t="s">
        <v>84</v>
      </c>
      <c r="D230" s="126" t="s">
        <v>84</v>
      </c>
      <c r="E230" s="126" t="s">
        <v>88</v>
      </c>
      <c r="F230" s="127">
        <v>0</v>
      </c>
      <c r="G230" s="126" t="s">
        <v>68</v>
      </c>
      <c r="H230" s="126" t="s">
        <v>69</v>
      </c>
      <c r="I230" s="127"/>
      <c r="J230" s="97">
        <f>J231</f>
        <v>663000</v>
      </c>
      <c r="K230" s="97">
        <f>K231</f>
        <v>663000</v>
      </c>
    </row>
    <row r="231" spans="1:11" ht="31.5" x14ac:dyDescent="0.25">
      <c r="A231" s="44" t="s">
        <v>294</v>
      </c>
      <c r="B231" s="126" t="s">
        <v>54</v>
      </c>
      <c r="C231" s="126" t="s">
        <v>84</v>
      </c>
      <c r="D231" s="126" t="s">
        <v>84</v>
      </c>
      <c r="E231" s="126" t="s">
        <v>88</v>
      </c>
      <c r="F231" s="127">
        <v>2</v>
      </c>
      <c r="G231" s="126" t="s">
        <v>68</v>
      </c>
      <c r="H231" s="126" t="s">
        <v>69</v>
      </c>
      <c r="I231" s="127"/>
      <c r="J231" s="97">
        <f>J232+J235</f>
        <v>663000</v>
      </c>
      <c r="K231" s="97">
        <f>K232+K235</f>
        <v>663000</v>
      </c>
    </row>
    <row r="232" spans="1:11" x14ac:dyDescent="0.25">
      <c r="A232" s="44" t="s">
        <v>184</v>
      </c>
      <c r="B232" s="126" t="s">
        <v>54</v>
      </c>
      <c r="C232" s="126" t="s">
        <v>84</v>
      </c>
      <c r="D232" s="126" t="s">
        <v>84</v>
      </c>
      <c r="E232" s="126" t="s">
        <v>88</v>
      </c>
      <c r="F232" s="127">
        <v>2</v>
      </c>
      <c r="G232" s="126" t="s">
        <v>65</v>
      </c>
      <c r="H232" s="126" t="s">
        <v>69</v>
      </c>
      <c r="I232" s="127"/>
      <c r="J232" s="97">
        <f>J233</f>
        <v>150000</v>
      </c>
      <c r="K232" s="97">
        <f>K233</f>
        <v>150000</v>
      </c>
    </row>
    <row r="233" spans="1:11" ht="47.25" x14ac:dyDescent="0.25">
      <c r="A233" s="45" t="s">
        <v>185</v>
      </c>
      <c r="B233" s="126" t="s">
        <v>54</v>
      </c>
      <c r="C233" s="126" t="s">
        <v>84</v>
      </c>
      <c r="D233" s="126" t="s">
        <v>84</v>
      </c>
      <c r="E233" s="126" t="s">
        <v>88</v>
      </c>
      <c r="F233" s="126" t="s">
        <v>73</v>
      </c>
      <c r="G233" s="126" t="s">
        <v>65</v>
      </c>
      <c r="H233" s="126" t="s">
        <v>186</v>
      </c>
      <c r="I233" s="126"/>
      <c r="J233" s="97">
        <f>J234</f>
        <v>150000</v>
      </c>
      <c r="K233" s="97">
        <f>K234</f>
        <v>150000</v>
      </c>
    </row>
    <row r="234" spans="1:11" ht="47.25" x14ac:dyDescent="0.25">
      <c r="A234" s="45" t="s">
        <v>75</v>
      </c>
      <c r="B234" s="126" t="s">
        <v>54</v>
      </c>
      <c r="C234" s="126" t="s">
        <v>84</v>
      </c>
      <c r="D234" s="126" t="s">
        <v>84</v>
      </c>
      <c r="E234" s="126" t="s">
        <v>88</v>
      </c>
      <c r="F234" s="126" t="s">
        <v>73</v>
      </c>
      <c r="G234" s="126" t="s">
        <v>65</v>
      </c>
      <c r="H234" s="126" t="s">
        <v>186</v>
      </c>
      <c r="I234" s="126" t="s">
        <v>76</v>
      </c>
      <c r="J234" s="97">
        <v>150000</v>
      </c>
      <c r="K234" s="97">
        <v>150000</v>
      </c>
    </row>
    <row r="235" spans="1:11" x14ac:dyDescent="0.25">
      <c r="A235" s="44" t="s">
        <v>295</v>
      </c>
      <c r="B235" s="126" t="s">
        <v>54</v>
      </c>
      <c r="C235" s="126" t="s">
        <v>84</v>
      </c>
      <c r="D235" s="126" t="s">
        <v>84</v>
      </c>
      <c r="E235" s="126" t="s">
        <v>88</v>
      </c>
      <c r="F235" s="127">
        <v>2</v>
      </c>
      <c r="G235" s="126" t="s">
        <v>66</v>
      </c>
      <c r="H235" s="126"/>
      <c r="I235" s="127"/>
      <c r="J235" s="97">
        <f>J236</f>
        <v>513000</v>
      </c>
      <c r="K235" s="97">
        <f>K236</f>
        <v>513000</v>
      </c>
    </row>
    <row r="236" spans="1:11" ht="47.25" x14ac:dyDescent="0.25">
      <c r="A236" s="45" t="s">
        <v>185</v>
      </c>
      <c r="B236" s="126" t="s">
        <v>54</v>
      </c>
      <c r="C236" s="126" t="s">
        <v>84</v>
      </c>
      <c r="D236" s="126" t="s">
        <v>84</v>
      </c>
      <c r="E236" s="126" t="s">
        <v>88</v>
      </c>
      <c r="F236" s="126" t="s">
        <v>73</v>
      </c>
      <c r="G236" s="126" t="s">
        <v>66</v>
      </c>
      <c r="H236" s="126" t="s">
        <v>186</v>
      </c>
      <c r="I236" s="126"/>
      <c r="J236" s="97">
        <f>J237</f>
        <v>513000</v>
      </c>
      <c r="K236" s="97">
        <f>K237</f>
        <v>513000</v>
      </c>
    </row>
    <row r="237" spans="1:11" ht="47.25" x14ac:dyDescent="0.25">
      <c r="A237" s="45" t="s">
        <v>75</v>
      </c>
      <c r="B237" s="126" t="s">
        <v>54</v>
      </c>
      <c r="C237" s="126" t="s">
        <v>84</v>
      </c>
      <c r="D237" s="126" t="s">
        <v>84</v>
      </c>
      <c r="E237" s="126" t="s">
        <v>88</v>
      </c>
      <c r="F237" s="126" t="s">
        <v>73</v>
      </c>
      <c r="G237" s="126" t="s">
        <v>66</v>
      </c>
      <c r="H237" s="126" t="s">
        <v>186</v>
      </c>
      <c r="I237" s="126" t="s">
        <v>76</v>
      </c>
      <c r="J237" s="97">
        <v>513000</v>
      </c>
      <c r="K237" s="97">
        <v>513000</v>
      </c>
    </row>
    <row r="238" spans="1:11" x14ac:dyDescent="0.25">
      <c r="A238" s="50" t="s">
        <v>122</v>
      </c>
      <c r="B238" s="126" t="s">
        <v>54</v>
      </c>
      <c r="C238" s="126" t="s">
        <v>88</v>
      </c>
      <c r="D238" s="126"/>
      <c r="E238" s="126"/>
      <c r="F238" s="127"/>
      <c r="G238" s="126"/>
      <c r="H238" s="126"/>
      <c r="I238" s="127"/>
      <c r="J238" s="96">
        <f>J239+J243</f>
        <v>2966610</v>
      </c>
      <c r="K238" s="96">
        <f>K239+K243</f>
        <v>3047960.4</v>
      </c>
    </row>
    <row r="239" spans="1:11" ht="31.5" x14ac:dyDescent="0.25">
      <c r="A239" s="51" t="s">
        <v>123</v>
      </c>
      <c r="B239" s="126" t="s">
        <v>54</v>
      </c>
      <c r="C239" s="126" t="s">
        <v>88</v>
      </c>
      <c r="D239" s="126" t="s">
        <v>84</v>
      </c>
      <c r="E239" s="126"/>
      <c r="F239" s="127"/>
      <c r="G239" s="126"/>
      <c r="H239" s="126"/>
      <c r="I239" s="127"/>
      <c r="J239" s="97">
        <f t="shared" ref="J239:K241" si="14">J240</f>
        <v>30000</v>
      </c>
      <c r="K239" s="97">
        <f t="shared" si="14"/>
        <v>30000</v>
      </c>
    </row>
    <row r="240" spans="1:11" ht="126" x14ac:dyDescent="0.25">
      <c r="A240" s="44" t="s">
        <v>296</v>
      </c>
      <c r="B240" s="126" t="s">
        <v>54</v>
      </c>
      <c r="C240" s="126" t="s">
        <v>88</v>
      </c>
      <c r="D240" s="126" t="s">
        <v>84</v>
      </c>
      <c r="E240" s="126" t="s">
        <v>102</v>
      </c>
      <c r="F240" s="127">
        <v>0</v>
      </c>
      <c r="G240" s="126" t="s">
        <v>68</v>
      </c>
      <c r="H240" s="126" t="s">
        <v>69</v>
      </c>
      <c r="I240" s="127"/>
      <c r="J240" s="97">
        <f t="shared" si="14"/>
        <v>30000</v>
      </c>
      <c r="K240" s="97">
        <f t="shared" si="14"/>
        <v>30000</v>
      </c>
    </row>
    <row r="241" spans="1:11" ht="31.5" x14ac:dyDescent="0.25">
      <c r="A241" s="45" t="s">
        <v>297</v>
      </c>
      <c r="B241" s="126" t="s">
        <v>54</v>
      </c>
      <c r="C241" s="126" t="s">
        <v>88</v>
      </c>
      <c r="D241" s="126" t="s">
        <v>84</v>
      </c>
      <c r="E241" s="126" t="s">
        <v>102</v>
      </c>
      <c r="F241" s="127">
        <v>0</v>
      </c>
      <c r="G241" s="126" t="s">
        <v>68</v>
      </c>
      <c r="H241" s="126" t="s">
        <v>298</v>
      </c>
      <c r="I241" s="127"/>
      <c r="J241" s="97">
        <f t="shared" si="14"/>
        <v>30000</v>
      </c>
      <c r="K241" s="97">
        <f t="shared" si="14"/>
        <v>30000</v>
      </c>
    </row>
    <row r="242" spans="1:11" ht="47.25" x14ac:dyDescent="0.25">
      <c r="A242" s="45" t="s">
        <v>75</v>
      </c>
      <c r="B242" s="126" t="s">
        <v>54</v>
      </c>
      <c r="C242" s="126" t="s">
        <v>88</v>
      </c>
      <c r="D242" s="126" t="s">
        <v>84</v>
      </c>
      <c r="E242" s="126" t="s">
        <v>102</v>
      </c>
      <c r="F242" s="127">
        <v>0</v>
      </c>
      <c r="G242" s="126" t="s">
        <v>68</v>
      </c>
      <c r="H242" s="126" t="s">
        <v>298</v>
      </c>
      <c r="I242" s="127">
        <v>240</v>
      </c>
      <c r="J242" s="97">
        <v>30000</v>
      </c>
      <c r="K242" s="97">
        <v>30000</v>
      </c>
    </row>
    <row r="243" spans="1:11" x14ac:dyDescent="0.25">
      <c r="A243" s="44" t="s">
        <v>124</v>
      </c>
      <c r="B243" s="126" t="s">
        <v>54</v>
      </c>
      <c r="C243" s="126" t="s">
        <v>88</v>
      </c>
      <c r="D243" s="126" t="s">
        <v>88</v>
      </c>
      <c r="E243" s="126"/>
      <c r="F243" s="127"/>
      <c r="G243" s="126"/>
      <c r="H243" s="126"/>
      <c r="I243" s="127"/>
      <c r="J243" s="96">
        <f>J244</f>
        <v>2936610</v>
      </c>
      <c r="K243" s="96">
        <f>K244</f>
        <v>3017960.4</v>
      </c>
    </row>
    <row r="244" spans="1:11" ht="63" x14ac:dyDescent="0.25">
      <c r="A244" s="45" t="s">
        <v>299</v>
      </c>
      <c r="B244" s="126" t="s">
        <v>54</v>
      </c>
      <c r="C244" s="126" t="s">
        <v>88</v>
      </c>
      <c r="D244" s="126" t="s">
        <v>88</v>
      </c>
      <c r="E244" s="126" t="s">
        <v>86</v>
      </c>
      <c r="F244" s="127">
        <v>0</v>
      </c>
      <c r="G244" s="126" t="s">
        <v>68</v>
      </c>
      <c r="H244" s="126" t="s">
        <v>69</v>
      </c>
      <c r="I244" s="127"/>
      <c r="J244" s="96">
        <f>J245</f>
        <v>2936610</v>
      </c>
      <c r="K244" s="96">
        <f>K245</f>
        <v>3017960.4</v>
      </c>
    </row>
    <row r="245" spans="1:11" x14ac:dyDescent="0.25">
      <c r="A245" s="44" t="s">
        <v>124</v>
      </c>
      <c r="B245" s="126" t="s">
        <v>54</v>
      </c>
      <c r="C245" s="126" t="s">
        <v>88</v>
      </c>
      <c r="D245" s="126" t="s">
        <v>88</v>
      </c>
      <c r="E245" s="126" t="s">
        <v>86</v>
      </c>
      <c r="F245" s="127">
        <v>1</v>
      </c>
      <c r="G245" s="126" t="s">
        <v>68</v>
      </c>
      <c r="H245" s="126" t="s">
        <v>69</v>
      </c>
      <c r="I245" s="127"/>
      <c r="J245" s="96">
        <f>J246+J248</f>
        <v>2936610</v>
      </c>
      <c r="K245" s="96">
        <f>K246+K248</f>
        <v>3017960.4</v>
      </c>
    </row>
    <row r="246" spans="1:11" ht="31.5" x14ac:dyDescent="0.25">
      <c r="A246" s="44" t="s">
        <v>300</v>
      </c>
      <c r="B246" s="126" t="s">
        <v>54</v>
      </c>
      <c r="C246" s="126" t="s">
        <v>88</v>
      </c>
      <c r="D246" s="126" t="s">
        <v>88</v>
      </c>
      <c r="E246" s="126" t="s">
        <v>86</v>
      </c>
      <c r="F246" s="127">
        <v>1</v>
      </c>
      <c r="G246" s="126" t="s">
        <v>68</v>
      </c>
      <c r="H246" s="126" t="s">
        <v>301</v>
      </c>
      <c r="I246" s="127"/>
      <c r="J246" s="96">
        <f>J247</f>
        <v>99993.600000000006</v>
      </c>
      <c r="K246" s="96">
        <f>K247</f>
        <v>99993.600000000006</v>
      </c>
    </row>
    <row r="247" spans="1:11" ht="31.5" x14ac:dyDescent="0.25">
      <c r="A247" s="44" t="s">
        <v>293</v>
      </c>
      <c r="B247" s="126" t="s">
        <v>54</v>
      </c>
      <c r="C247" s="126" t="s">
        <v>88</v>
      </c>
      <c r="D247" s="126" t="s">
        <v>88</v>
      </c>
      <c r="E247" s="126" t="s">
        <v>86</v>
      </c>
      <c r="F247" s="127">
        <v>1</v>
      </c>
      <c r="G247" s="126" t="s">
        <v>68</v>
      </c>
      <c r="H247" s="126" t="s">
        <v>301</v>
      </c>
      <c r="I247" s="127">
        <v>110</v>
      </c>
      <c r="J247" s="96">
        <v>99993.600000000006</v>
      </c>
      <c r="K247" s="96">
        <v>99993.600000000006</v>
      </c>
    </row>
    <row r="248" spans="1:11" ht="31.5" x14ac:dyDescent="0.25">
      <c r="A248" s="44" t="s">
        <v>302</v>
      </c>
      <c r="B248" s="126" t="s">
        <v>54</v>
      </c>
      <c r="C248" s="126" t="s">
        <v>88</v>
      </c>
      <c r="D248" s="126" t="s">
        <v>88</v>
      </c>
      <c r="E248" s="126" t="s">
        <v>86</v>
      </c>
      <c r="F248" s="127">
        <v>1</v>
      </c>
      <c r="G248" s="126" t="s">
        <v>68</v>
      </c>
      <c r="H248" s="126" t="s">
        <v>303</v>
      </c>
      <c r="I248" s="127"/>
      <c r="J248" s="96">
        <f>J249</f>
        <v>2836616.4</v>
      </c>
      <c r="K248" s="96">
        <f>K249</f>
        <v>2917966.8</v>
      </c>
    </row>
    <row r="249" spans="1:11" x14ac:dyDescent="0.25">
      <c r="A249" s="45" t="s">
        <v>105</v>
      </c>
      <c r="B249" s="126" t="s">
        <v>54</v>
      </c>
      <c r="C249" s="126" t="s">
        <v>88</v>
      </c>
      <c r="D249" s="126" t="s">
        <v>88</v>
      </c>
      <c r="E249" s="126" t="s">
        <v>86</v>
      </c>
      <c r="F249" s="127">
        <v>1</v>
      </c>
      <c r="G249" s="126" t="s">
        <v>68</v>
      </c>
      <c r="H249" s="126" t="s">
        <v>303</v>
      </c>
      <c r="I249" s="127">
        <v>520</v>
      </c>
      <c r="J249" s="96">
        <f>3208900-372283.6</f>
        <v>2836616.4</v>
      </c>
      <c r="K249" s="96">
        <v>2917966.8</v>
      </c>
    </row>
    <row r="250" spans="1:11" x14ac:dyDescent="0.25">
      <c r="A250" s="50" t="s">
        <v>304</v>
      </c>
      <c r="B250" s="126" t="s">
        <v>54</v>
      </c>
      <c r="C250" s="126" t="s">
        <v>112</v>
      </c>
      <c r="D250" s="126"/>
      <c r="E250" s="126"/>
      <c r="F250" s="127"/>
      <c r="G250" s="126"/>
      <c r="H250" s="126"/>
      <c r="I250" s="127"/>
      <c r="J250" s="96">
        <f>J251+J270</f>
        <v>25567479.16</v>
      </c>
      <c r="K250" s="96">
        <f>K251+K270</f>
        <v>27477566</v>
      </c>
    </row>
    <row r="251" spans="1:11" x14ac:dyDescent="0.25">
      <c r="A251" s="44" t="s">
        <v>125</v>
      </c>
      <c r="B251" s="126" t="s">
        <v>54</v>
      </c>
      <c r="C251" s="126" t="s">
        <v>112</v>
      </c>
      <c r="D251" s="127" t="s">
        <v>65</v>
      </c>
      <c r="E251" s="126" t="s">
        <v>134</v>
      </c>
      <c r="F251" s="127"/>
      <c r="G251" s="126"/>
      <c r="H251" s="126"/>
      <c r="I251" s="127" t="s">
        <v>135</v>
      </c>
      <c r="J251" s="96">
        <f>J264+J252+J259</f>
        <v>24509079.16</v>
      </c>
      <c r="K251" s="96">
        <f>K264+K252+K259</f>
        <v>25502110</v>
      </c>
    </row>
    <row r="252" spans="1:11" ht="63" x14ac:dyDescent="0.25">
      <c r="A252" s="45" t="s">
        <v>299</v>
      </c>
      <c r="B252" s="126" t="s">
        <v>54</v>
      </c>
      <c r="C252" s="126" t="s">
        <v>112</v>
      </c>
      <c r="D252" s="126" t="s">
        <v>65</v>
      </c>
      <c r="E252" s="126" t="s">
        <v>86</v>
      </c>
      <c r="F252" s="127">
        <v>0</v>
      </c>
      <c r="G252" s="126" t="s">
        <v>68</v>
      </c>
      <c r="H252" s="126" t="s">
        <v>69</v>
      </c>
      <c r="I252" s="127"/>
      <c r="J252" s="96">
        <f>J253+J256</f>
        <v>22833999.899999999</v>
      </c>
      <c r="K252" s="96">
        <f>K253+K256</f>
        <v>23724834.59</v>
      </c>
    </row>
    <row r="253" spans="1:11" x14ac:dyDescent="0.25">
      <c r="A253" s="45" t="s">
        <v>443</v>
      </c>
      <c r="B253" s="126" t="s">
        <v>54</v>
      </c>
      <c r="C253" s="126" t="s">
        <v>112</v>
      </c>
      <c r="D253" s="126" t="s">
        <v>65</v>
      </c>
      <c r="E253" s="126" t="s">
        <v>86</v>
      </c>
      <c r="F253" s="127">
        <v>2</v>
      </c>
      <c r="G253" s="126" t="s">
        <v>68</v>
      </c>
      <c r="H253" s="126" t="s">
        <v>69</v>
      </c>
      <c r="I253" s="127"/>
      <c r="J253" s="96">
        <f>J254</f>
        <v>6877594.8899999997</v>
      </c>
      <c r="K253" s="96">
        <f>K254</f>
        <v>6896503.0300000003</v>
      </c>
    </row>
    <row r="254" spans="1:11" ht="31.5" x14ac:dyDescent="0.25">
      <c r="A254" s="45" t="s">
        <v>291</v>
      </c>
      <c r="B254" s="126" t="s">
        <v>54</v>
      </c>
      <c r="C254" s="126" t="s">
        <v>112</v>
      </c>
      <c r="D254" s="126" t="s">
        <v>65</v>
      </c>
      <c r="E254" s="126" t="s">
        <v>86</v>
      </c>
      <c r="F254" s="127">
        <v>2</v>
      </c>
      <c r="G254" s="126" t="s">
        <v>68</v>
      </c>
      <c r="H254" s="126" t="s">
        <v>292</v>
      </c>
      <c r="I254" s="127"/>
      <c r="J254" s="96">
        <f>SUM(J255:J255)</f>
        <v>6877594.8899999997</v>
      </c>
      <c r="K254" s="96">
        <f>SUM(K255:K255)</f>
        <v>6896503.0300000003</v>
      </c>
    </row>
    <row r="255" spans="1:11" x14ac:dyDescent="0.25">
      <c r="A255" s="44" t="s">
        <v>113</v>
      </c>
      <c r="B255" s="197" t="s">
        <v>54</v>
      </c>
      <c r="C255" s="197" t="s">
        <v>112</v>
      </c>
      <c r="D255" s="197" t="s">
        <v>65</v>
      </c>
      <c r="E255" s="197" t="s">
        <v>86</v>
      </c>
      <c r="F255" s="198">
        <v>5</v>
      </c>
      <c r="G255" s="197" t="s">
        <v>68</v>
      </c>
      <c r="H255" s="197" t="s">
        <v>292</v>
      </c>
      <c r="I255" s="198">
        <v>620</v>
      </c>
      <c r="J255" s="96">
        <f>6856594.89+21000</f>
        <v>6877594.8899999997</v>
      </c>
      <c r="K255" s="96">
        <f>6875503.03+21000</f>
        <v>6896503.0300000003</v>
      </c>
    </row>
    <row r="256" spans="1:11" x14ac:dyDescent="0.25">
      <c r="A256" s="45" t="s">
        <v>305</v>
      </c>
      <c r="B256" s="126" t="s">
        <v>54</v>
      </c>
      <c r="C256" s="126" t="s">
        <v>112</v>
      </c>
      <c r="D256" s="126" t="s">
        <v>65</v>
      </c>
      <c r="E256" s="126" t="s">
        <v>86</v>
      </c>
      <c r="F256" s="127">
        <v>5</v>
      </c>
      <c r="G256" s="126" t="s">
        <v>68</v>
      </c>
      <c r="H256" s="126" t="s">
        <v>69</v>
      </c>
      <c r="I256" s="127"/>
      <c r="J256" s="96">
        <f>J257</f>
        <v>15956405.01</v>
      </c>
      <c r="K256" s="96">
        <f>K257</f>
        <v>16828331.559999999</v>
      </c>
    </row>
    <row r="257" spans="1:11" ht="31.5" x14ac:dyDescent="0.25">
      <c r="A257" s="45" t="s">
        <v>291</v>
      </c>
      <c r="B257" s="126" t="s">
        <v>54</v>
      </c>
      <c r="C257" s="126" t="s">
        <v>112</v>
      </c>
      <c r="D257" s="126" t="s">
        <v>65</v>
      </c>
      <c r="E257" s="126" t="s">
        <v>86</v>
      </c>
      <c r="F257" s="127">
        <v>5</v>
      </c>
      <c r="G257" s="126" t="s">
        <v>68</v>
      </c>
      <c r="H257" s="126" t="s">
        <v>292</v>
      </c>
      <c r="I257" s="127"/>
      <c r="J257" s="96">
        <f>J258</f>
        <v>15956405.01</v>
      </c>
      <c r="K257" s="96">
        <f>K258</f>
        <v>16828331.559999999</v>
      </c>
    </row>
    <row r="258" spans="1:11" x14ac:dyDescent="0.25">
      <c r="A258" s="44" t="s">
        <v>113</v>
      </c>
      <c r="B258" s="126" t="s">
        <v>54</v>
      </c>
      <c r="C258" s="126" t="s">
        <v>112</v>
      </c>
      <c r="D258" s="126" t="s">
        <v>65</v>
      </c>
      <c r="E258" s="126" t="s">
        <v>86</v>
      </c>
      <c r="F258" s="127">
        <v>5</v>
      </c>
      <c r="G258" s="126" t="s">
        <v>68</v>
      </c>
      <c r="H258" s="126" t="s">
        <v>292</v>
      </c>
      <c r="I258" s="127">
        <v>620</v>
      </c>
      <c r="J258" s="96">
        <v>15956405.01</v>
      </c>
      <c r="K258" s="96">
        <v>16828331.559999999</v>
      </c>
    </row>
    <row r="259" spans="1:11" ht="63" hidden="1" x14ac:dyDescent="0.25">
      <c r="A259" s="44" t="s">
        <v>182</v>
      </c>
      <c r="B259" s="126" t="s">
        <v>54</v>
      </c>
      <c r="C259" s="126" t="s">
        <v>112</v>
      </c>
      <c r="D259" s="126" t="s">
        <v>65</v>
      </c>
      <c r="E259" s="126" t="s">
        <v>88</v>
      </c>
      <c r="F259" s="127">
        <v>0</v>
      </c>
      <c r="G259" s="126" t="s">
        <v>68</v>
      </c>
      <c r="H259" s="126" t="s">
        <v>69</v>
      </c>
      <c r="I259" s="127"/>
      <c r="J259" s="97">
        <f>J260</f>
        <v>0</v>
      </c>
      <c r="K259" s="97">
        <f>K260</f>
        <v>0</v>
      </c>
    </row>
    <row r="260" spans="1:11" ht="31.5" hidden="1" x14ac:dyDescent="0.25">
      <c r="A260" s="44" t="s">
        <v>497</v>
      </c>
      <c r="B260" s="126" t="s">
        <v>54</v>
      </c>
      <c r="C260" s="126" t="s">
        <v>112</v>
      </c>
      <c r="D260" s="126" t="s">
        <v>65</v>
      </c>
      <c r="E260" s="126" t="s">
        <v>88</v>
      </c>
      <c r="F260" s="127">
        <v>3</v>
      </c>
      <c r="G260" s="126" t="s">
        <v>68</v>
      </c>
      <c r="H260" s="126" t="s">
        <v>69</v>
      </c>
      <c r="I260" s="127"/>
      <c r="J260" s="97">
        <f>J262</f>
        <v>0</v>
      </c>
      <c r="K260" s="97">
        <f>K262</f>
        <v>0</v>
      </c>
    </row>
    <row r="261" spans="1:11" ht="63" hidden="1" x14ac:dyDescent="0.25">
      <c r="A261" s="44" t="s">
        <v>429</v>
      </c>
      <c r="B261" s="126" t="s">
        <v>54</v>
      </c>
      <c r="C261" s="126" t="s">
        <v>112</v>
      </c>
      <c r="D261" s="126" t="s">
        <v>65</v>
      </c>
      <c r="E261" s="126" t="s">
        <v>88</v>
      </c>
      <c r="F261" s="127">
        <v>3</v>
      </c>
      <c r="G261" s="126" t="s">
        <v>66</v>
      </c>
      <c r="H261" s="126" t="s">
        <v>69</v>
      </c>
      <c r="I261" s="127"/>
      <c r="J261" s="97">
        <f>J262</f>
        <v>0</v>
      </c>
      <c r="K261" s="97">
        <f>K262</f>
        <v>0</v>
      </c>
    </row>
    <row r="262" spans="1:11" ht="47.25" hidden="1" x14ac:dyDescent="0.25">
      <c r="A262" s="45" t="s">
        <v>185</v>
      </c>
      <c r="B262" s="126" t="s">
        <v>54</v>
      </c>
      <c r="C262" s="126" t="s">
        <v>112</v>
      </c>
      <c r="D262" s="126" t="s">
        <v>65</v>
      </c>
      <c r="E262" s="126" t="s">
        <v>88</v>
      </c>
      <c r="F262" s="126" t="s">
        <v>74</v>
      </c>
      <c r="G262" s="126" t="s">
        <v>66</v>
      </c>
      <c r="H262" s="126" t="s">
        <v>186</v>
      </c>
      <c r="I262" s="126"/>
      <c r="J262" s="97">
        <f>J263</f>
        <v>0</v>
      </c>
      <c r="K262" s="97">
        <f>K263</f>
        <v>0</v>
      </c>
    </row>
    <row r="263" spans="1:11" hidden="1" x14ac:dyDescent="0.25">
      <c r="A263" s="44" t="s">
        <v>113</v>
      </c>
      <c r="B263" s="197" t="s">
        <v>54</v>
      </c>
      <c r="C263" s="197" t="s">
        <v>112</v>
      </c>
      <c r="D263" s="197" t="s">
        <v>65</v>
      </c>
      <c r="E263" s="197" t="s">
        <v>88</v>
      </c>
      <c r="F263" s="197" t="s">
        <v>74</v>
      </c>
      <c r="G263" s="197" t="s">
        <v>66</v>
      </c>
      <c r="H263" s="197" t="s">
        <v>186</v>
      </c>
      <c r="I263" s="198">
        <v>620</v>
      </c>
      <c r="J263" s="97"/>
      <c r="K263" s="97"/>
    </row>
    <row r="264" spans="1:11" x14ac:dyDescent="0.25">
      <c r="A264" s="45" t="s">
        <v>80</v>
      </c>
      <c r="B264" s="126" t="s">
        <v>54</v>
      </c>
      <c r="C264" s="126" t="s">
        <v>112</v>
      </c>
      <c r="D264" s="126" t="s">
        <v>65</v>
      </c>
      <c r="E264" s="126" t="s">
        <v>81</v>
      </c>
      <c r="F264" s="127">
        <v>0</v>
      </c>
      <c r="G264" s="126" t="s">
        <v>67</v>
      </c>
      <c r="H264" s="126" t="s">
        <v>69</v>
      </c>
      <c r="I264" s="127"/>
      <c r="J264" s="96">
        <f>J265</f>
        <v>1675079.26</v>
      </c>
      <c r="K264" s="96">
        <f>K265</f>
        <v>1777275.41</v>
      </c>
    </row>
    <row r="265" spans="1:11" x14ac:dyDescent="0.25">
      <c r="A265" s="45" t="s">
        <v>207</v>
      </c>
      <c r="B265" s="126" t="s">
        <v>54</v>
      </c>
      <c r="C265" s="126" t="s">
        <v>112</v>
      </c>
      <c r="D265" s="126" t="s">
        <v>65</v>
      </c>
      <c r="E265" s="126" t="s">
        <v>81</v>
      </c>
      <c r="F265" s="127">
        <v>9</v>
      </c>
      <c r="G265" s="126" t="s">
        <v>67</v>
      </c>
      <c r="H265" s="126" t="s">
        <v>69</v>
      </c>
      <c r="I265" s="127"/>
      <c r="J265" s="96">
        <f>J266+J268</f>
        <v>1675079.26</v>
      </c>
      <c r="K265" s="96">
        <f>K266+K268</f>
        <v>1777275.41</v>
      </c>
    </row>
    <row r="266" spans="1:11" ht="84" customHeight="1" x14ac:dyDescent="0.25">
      <c r="A266" s="45" t="s">
        <v>308</v>
      </c>
      <c r="B266" s="126" t="s">
        <v>54</v>
      </c>
      <c r="C266" s="126" t="s">
        <v>112</v>
      </c>
      <c r="D266" s="126" t="s">
        <v>65</v>
      </c>
      <c r="E266" s="126" t="s">
        <v>81</v>
      </c>
      <c r="F266" s="127">
        <v>9</v>
      </c>
      <c r="G266" s="126" t="s">
        <v>68</v>
      </c>
      <c r="H266" s="126" t="s">
        <v>126</v>
      </c>
      <c r="I266" s="127"/>
      <c r="J266" s="96">
        <f>J267</f>
        <v>52918.98</v>
      </c>
      <c r="K266" s="96">
        <f>K267</f>
        <v>52918.98</v>
      </c>
    </row>
    <row r="267" spans="1:11" ht="31.5" x14ac:dyDescent="0.25">
      <c r="A267" s="44" t="s">
        <v>293</v>
      </c>
      <c r="B267" s="126" t="s">
        <v>54</v>
      </c>
      <c r="C267" s="126" t="s">
        <v>112</v>
      </c>
      <c r="D267" s="126" t="s">
        <v>65</v>
      </c>
      <c r="E267" s="126" t="s">
        <v>81</v>
      </c>
      <c r="F267" s="127">
        <v>9</v>
      </c>
      <c r="G267" s="126" t="s">
        <v>68</v>
      </c>
      <c r="H267" s="126" t="s">
        <v>126</v>
      </c>
      <c r="I267" s="127">
        <v>620</v>
      </c>
      <c r="J267" s="96">
        <v>52918.98</v>
      </c>
      <c r="K267" s="96">
        <v>52918.98</v>
      </c>
    </row>
    <row r="268" spans="1:11" ht="47.25" x14ac:dyDescent="0.25">
      <c r="A268" s="45" t="s">
        <v>395</v>
      </c>
      <c r="B268" s="126" t="s">
        <v>54</v>
      </c>
      <c r="C268" s="126" t="s">
        <v>112</v>
      </c>
      <c r="D268" s="126" t="s">
        <v>65</v>
      </c>
      <c r="E268" s="126" t="s">
        <v>81</v>
      </c>
      <c r="F268" s="127">
        <v>9</v>
      </c>
      <c r="G268" s="126" t="s">
        <v>68</v>
      </c>
      <c r="H268" s="126" t="s">
        <v>394</v>
      </c>
      <c r="I268" s="127"/>
      <c r="J268" s="96">
        <f>SUM(J269:J269)</f>
        <v>1622160.28</v>
      </c>
      <c r="K268" s="96">
        <f>SUM(K269:K269)</f>
        <v>1724356.43</v>
      </c>
    </row>
    <row r="269" spans="1:11" ht="31.5" x14ac:dyDescent="0.25">
      <c r="A269" s="44" t="s">
        <v>293</v>
      </c>
      <c r="B269" s="126" t="s">
        <v>54</v>
      </c>
      <c r="C269" s="126" t="s">
        <v>112</v>
      </c>
      <c r="D269" s="126" t="s">
        <v>65</v>
      </c>
      <c r="E269" s="126" t="s">
        <v>81</v>
      </c>
      <c r="F269" s="127">
        <v>9</v>
      </c>
      <c r="G269" s="126" t="s">
        <v>68</v>
      </c>
      <c r="H269" s="126" t="s">
        <v>394</v>
      </c>
      <c r="I269" s="127">
        <v>620</v>
      </c>
      <c r="J269" s="96">
        <v>1622160.28</v>
      </c>
      <c r="K269" s="96">
        <v>1724356.43</v>
      </c>
    </row>
    <row r="270" spans="1:11" ht="31.5" x14ac:dyDescent="0.25">
      <c r="A270" s="44" t="s">
        <v>127</v>
      </c>
      <c r="B270" s="126" t="s">
        <v>54</v>
      </c>
      <c r="C270" s="126" t="s">
        <v>112</v>
      </c>
      <c r="D270" s="126" t="s">
        <v>83</v>
      </c>
      <c r="E270" s="126"/>
      <c r="F270" s="127"/>
      <c r="G270" s="126"/>
      <c r="H270" s="126"/>
      <c r="I270" s="127"/>
      <c r="J270" s="97">
        <f>J271</f>
        <v>1058400</v>
      </c>
      <c r="K270" s="97">
        <f>K271</f>
        <v>1975456</v>
      </c>
    </row>
    <row r="271" spans="1:11" ht="63" x14ac:dyDescent="0.25">
      <c r="A271" s="45" t="s">
        <v>299</v>
      </c>
      <c r="B271" s="126" t="s">
        <v>54</v>
      </c>
      <c r="C271" s="126" t="s">
        <v>112</v>
      </c>
      <c r="D271" s="126" t="s">
        <v>83</v>
      </c>
      <c r="E271" s="126" t="s">
        <v>86</v>
      </c>
      <c r="F271" s="127">
        <v>0</v>
      </c>
      <c r="G271" s="126" t="s">
        <v>68</v>
      </c>
      <c r="H271" s="126" t="s">
        <v>69</v>
      </c>
      <c r="I271" s="127"/>
      <c r="J271" s="97">
        <f>J272</f>
        <v>1058400</v>
      </c>
      <c r="K271" s="97">
        <f>K272</f>
        <v>1975456</v>
      </c>
    </row>
    <row r="272" spans="1:11" x14ac:dyDescent="0.25">
      <c r="A272" s="45" t="s">
        <v>309</v>
      </c>
      <c r="B272" s="126" t="s">
        <v>54</v>
      </c>
      <c r="C272" s="126" t="s">
        <v>112</v>
      </c>
      <c r="D272" s="126" t="s">
        <v>83</v>
      </c>
      <c r="E272" s="126" t="s">
        <v>86</v>
      </c>
      <c r="F272" s="127">
        <v>3</v>
      </c>
      <c r="G272" s="126" t="s">
        <v>68</v>
      </c>
      <c r="H272" s="126" t="s">
        <v>69</v>
      </c>
      <c r="I272" s="127"/>
      <c r="J272" s="97">
        <f>J273+J275+J277</f>
        <v>1058400</v>
      </c>
      <c r="K272" s="97">
        <f>K273+K275+K277</f>
        <v>1975456</v>
      </c>
    </row>
    <row r="273" spans="1:11" ht="31.5" x14ac:dyDescent="0.25">
      <c r="A273" s="45" t="s">
        <v>310</v>
      </c>
      <c r="B273" s="126" t="s">
        <v>54</v>
      </c>
      <c r="C273" s="126" t="s">
        <v>112</v>
      </c>
      <c r="D273" s="126" t="s">
        <v>83</v>
      </c>
      <c r="E273" s="126" t="s">
        <v>86</v>
      </c>
      <c r="F273" s="127">
        <v>3</v>
      </c>
      <c r="G273" s="126" t="s">
        <v>68</v>
      </c>
      <c r="H273" s="126" t="s">
        <v>311</v>
      </c>
      <c r="I273" s="127"/>
      <c r="J273" s="97">
        <f>J274</f>
        <v>100000</v>
      </c>
      <c r="K273" s="97">
        <f>K274</f>
        <v>100000</v>
      </c>
    </row>
    <row r="274" spans="1:11" x14ac:dyDescent="0.25">
      <c r="A274" s="45" t="s">
        <v>91</v>
      </c>
      <c r="B274" s="126" t="s">
        <v>54</v>
      </c>
      <c r="C274" s="126" t="s">
        <v>112</v>
      </c>
      <c r="D274" s="126" t="s">
        <v>83</v>
      </c>
      <c r="E274" s="126" t="s">
        <v>86</v>
      </c>
      <c r="F274" s="127">
        <v>3</v>
      </c>
      <c r="G274" s="126" t="s">
        <v>68</v>
      </c>
      <c r="H274" s="126" t="s">
        <v>311</v>
      </c>
      <c r="I274" s="127">
        <v>350</v>
      </c>
      <c r="J274" s="97">
        <v>100000</v>
      </c>
      <c r="K274" s="97">
        <v>100000</v>
      </c>
    </row>
    <row r="275" spans="1:11" x14ac:dyDescent="0.25">
      <c r="A275" s="45" t="s">
        <v>312</v>
      </c>
      <c r="B275" s="126" t="s">
        <v>54</v>
      </c>
      <c r="C275" s="126" t="s">
        <v>112</v>
      </c>
      <c r="D275" s="126" t="s">
        <v>83</v>
      </c>
      <c r="E275" s="126" t="s">
        <v>86</v>
      </c>
      <c r="F275" s="127">
        <v>3</v>
      </c>
      <c r="G275" s="126" t="s">
        <v>68</v>
      </c>
      <c r="H275" s="126" t="s">
        <v>313</v>
      </c>
      <c r="I275" s="127"/>
      <c r="J275" s="97">
        <f>J276</f>
        <v>426400</v>
      </c>
      <c r="K275" s="97">
        <f>K276</f>
        <v>1343456</v>
      </c>
    </row>
    <row r="276" spans="1:11" ht="47.25" x14ac:dyDescent="0.25">
      <c r="A276" s="45" t="s">
        <v>75</v>
      </c>
      <c r="B276" s="126" t="s">
        <v>54</v>
      </c>
      <c r="C276" s="126" t="s">
        <v>112</v>
      </c>
      <c r="D276" s="126" t="s">
        <v>83</v>
      </c>
      <c r="E276" s="126" t="s">
        <v>86</v>
      </c>
      <c r="F276" s="127">
        <v>3</v>
      </c>
      <c r="G276" s="126" t="s">
        <v>68</v>
      </c>
      <c r="H276" s="126" t="s">
        <v>313</v>
      </c>
      <c r="I276" s="127">
        <v>240</v>
      </c>
      <c r="J276" s="97">
        <v>426400</v>
      </c>
      <c r="K276" s="97">
        <v>1343456</v>
      </c>
    </row>
    <row r="277" spans="1:11" x14ac:dyDescent="0.25">
      <c r="A277" s="45" t="s">
        <v>314</v>
      </c>
      <c r="B277" s="126" t="s">
        <v>54</v>
      </c>
      <c r="C277" s="126" t="s">
        <v>112</v>
      </c>
      <c r="D277" s="126" t="s">
        <v>83</v>
      </c>
      <c r="E277" s="126" t="s">
        <v>86</v>
      </c>
      <c r="F277" s="127">
        <v>3</v>
      </c>
      <c r="G277" s="126" t="s">
        <v>68</v>
      </c>
      <c r="H277" s="126" t="s">
        <v>315</v>
      </c>
      <c r="I277" s="127"/>
      <c r="J277" s="97">
        <f>J278</f>
        <v>532000</v>
      </c>
      <c r="K277" s="97">
        <f>K278</f>
        <v>532000</v>
      </c>
    </row>
    <row r="278" spans="1:11" ht="47.25" x14ac:dyDescent="0.25">
      <c r="A278" s="45" t="s">
        <v>75</v>
      </c>
      <c r="B278" s="126" t="s">
        <v>54</v>
      </c>
      <c r="C278" s="126" t="s">
        <v>112</v>
      </c>
      <c r="D278" s="126" t="s">
        <v>83</v>
      </c>
      <c r="E278" s="126" t="s">
        <v>86</v>
      </c>
      <c r="F278" s="127">
        <v>3</v>
      </c>
      <c r="G278" s="126" t="s">
        <v>68</v>
      </c>
      <c r="H278" s="126" t="s">
        <v>315</v>
      </c>
      <c r="I278" s="127">
        <v>240</v>
      </c>
      <c r="J278" s="97">
        <v>532000</v>
      </c>
      <c r="K278" s="97">
        <v>532000</v>
      </c>
    </row>
    <row r="279" spans="1:11" x14ac:dyDescent="0.25">
      <c r="A279" s="50" t="s">
        <v>128</v>
      </c>
      <c r="B279" s="126" t="s">
        <v>54</v>
      </c>
      <c r="C279" s="126">
        <v>10</v>
      </c>
      <c r="D279" s="126"/>
      <c r="E279" s="126"/>
      <c r="F279" s="127"/>
      <c r="G279" s="126"/>
      <c r="H279" s="126"/>
      <c r="I279" s="127"/>
      <c r="J279" s="97">
        <f>J280</f>
        <v>798520</v>
      </c>
      <c r="K279" s="97">
        <f>K280</f>
        <v>836320</v>
      </c>
    </row>
    <row r="280" spans="1:11" x14ac:dyDescent="0.25">
      <c r="A280" s="44" t="s">
        <v>129</v>
      </c>
      <c r="B280" s="126" t="s">
        <v>54</v>
      </c>
      <c r="C280" s="126" t="s">
        <v>90</v>
      </c>
      <c r="D280" s="126" t="s">
        <v>72</v>
      </c>
      <c r="E280" s="126"/>
      <c r="F280" s="126"/>
      <c r="G280" s="126"/>
      <c r="H280" s="126"/>
      <c r="I280" s="127"/>
      <c r="J280" s="97">
        <f>J281+J285</f>
        <v>798520</v>
      </c>
      <c r="K280" s="97">
        <f>K281+K285</f>
        <v>836320</v>
      </c>
    </row>
    <row r="281" spans="1:11" ht="31.5" x14ac:dyDescent="0.25">
      <c r="A281" s="45" t="s">
        <v>316</v>
      </c>
      <c r="B281" s="126" t="s">
        <v>54</v>
      </c>
      <c r="C281" s="126" t="s">
        <v>90</v>
      </c>
      <c r="D281" s="126" t="s">
        <v>72</v>
      </c>
      <c r="E281" s="126" t="s">
        <v>317</v>
      </c>
      <c r="F281" s="127">
        <v>0</v>
      </c>
      <c r="G281" s="126" t="s">
        <v>68</v>
      </c>
      <c r="H281" s="126" t="s">
        <v>69</v>
      </c>
      <c r="I281" s="127"/>
      <c r="J281" s="97">
        <f t="shared" ref="J281:K283" si="15">J282</f>
        <v>758520</v>
      </c>
      <c r="K281" s="97">
        <f t="shared" si="15"/>
        <v>796320</v>
      </c>
    </row>
    <row r="282" spans="1:11" ht="31.5" x14ac:dyDescent="0.25">
      <c r="A282" s="45" t="s">
        <v>318</v>
      </c>
      <c r="B282" s="126" t="s">
        <v>54</v>
      </c>
      <c r="C282" s="126" t="s">
        <v>90</v>
      </c>
      <c r="D282" s="126" t="s">
        <v>72</v>
      </c>
      <c r="E282" s="126" t="s">
        <v>317</v>
      </c>
      <c r="F282" s="127">
        <v>3</v>
      </c>
      <c r="G282" s="126" t="s">
        <v>68</v>
      </c>
      <c r="H282" s="126" t="s">
        <v>69</v>
      </c>
      <c r="I282" s="127"/>
      <c r="J282" s="97">
        <f t="shared" si="15"/>
        <v>758520</v>
      </c>
      <c r="K282" s="97">
        <f t="shared" si="15"/>
        <v>796320</v>
      </c>
    </row>
    <row r="283" spans="1:11" ht="31.5" x14ac:dyDescent="0.25">
      <c r="A283" s="45" t="s">
        <v>319</v>
      </c>
      <c r="B283" s="126" t="s">
        <v>54</v>
      </c>
      <c r="C283" s="126" t="s">
        <v>90</v>
      </c>
      <c r="D283" s="126" t="s">
        <v>72</v>
      </c>
      <c r="E283" s="126" t="s">
        <v>317</v>
      </c>
      <c r="F283" s="127">
        <v>3</v>
      </c>
      <c r="G283" s="126" t="s">
        <v>68</v>
      </c>
      <c r="H283" s="126" t="s">
        <v>320</v>
      </c>
      <c r="I283" s="127"/>
      <c r="J283" s="97">
        <f t="shared" si="15"/>
        <v>758520</v>
      </c>
      <c r="K283" s="97">
        <f t="shared" si="15"/>
        <v>796320</v>
      </c>
    </row>
    <row r="284" spans="1:11" ht="47.25" x14ac:dyDescent="0.25">
      <c r="A284" s="45" t="s">
        <v>248</v>
      </c>
      <c r="B284" s="126" t="s">
        <v>54</v>
      </c>
      <c r="C284" s="126" t="s">
        <v>90</v>
      </c>
      <c r="D284" s="126" t="s">
        <v>72</v>
      </c>
      <c r="E284" s="126" t="s">
        <v>317</v>
      </c>
      <c r="F284" s="127">
        <v>3</v>
      </c>
      <c r="G284" s="126" t="s">
        <v>68</v>
      </c>
      <c r="H284" s="126" t="s">
        <v>320</v>
      </c>
      <c r="I284" s="127">
        <v>810</v>
      </c>
      <c r="J284" s="97">
        <f>758520</f>
        <v>758520</v>
      </c>
      <c r="K284" s="97">
        <f>796320</f>
        <v>796320</v>
      </c>
    </row>
    <row r="285" spans="1:11" x14ac:dyDescent="0.25">
      <c r="A285" s="45" t="s">
        <v>80</v>
      </c>
      <c r="B285" s="126" t="s">
        <v>54</v>
      </c>
      <c r="C285" s="126" t="s">
        <v>90</v>
      </c>
      <c r="D285" s="126" t="s">
        <v>72</v>
      </c>
      <c r="E285" s="126" t="s">
        <v>81</v>
      </c>
      <c r="F285" s="127">
        <v>0</v>
      </c>
      <c r="G285" s="126" t="s">
        <v>68</v>
      </c>
      <c r="H285" s="126" t="s">
        <v>69</v>
      </c>
      <c r="I285" s="127"/>
      <c r="J285" s="97">
        <f t="shared" ref="J285:K287" si="16">J286</f>
        <v>40000</v>
      </c>
      <c r="K285" s="97">
        <f t="shared" si="16"/>
        <v>40000</v>
      </c>
    </row>
    <row r="286" spans="1:11" x14ac:dyDescent="0.25">
      <c r="A286" s="45" t="s">
        <v>207</v>
      </c>
      <c r="B286" s="126" t="s">
        <v>54</v>
      </c>
      <c r="C286" s="126" t="s">
        <v>90</v>
      </c>
      <c r="D286" s="126" t="s">
        <v>72</v>
      </c>
      <c r="E286" s="126" t="s">
        <v>81</v>
      </c>
      <c r="F286" s="127">
        <v>9</v>
      </c>
      <c r="G286" s="126" t="s">
        <v>68</v>
      </c>
      <c r="H286" s="126" t="s">
        <v>69</v>
      </c>
      <c r="I286" s="127"/>
      <c r="J286" s="97">
        <f t="shared" si="16"/>
        <v>40000</v>
      </c>
      <c r="K286" s="97">
        <f t="shared" si="16"/>
        <v>40000</v>
      </c>
    </row>
    <row r="287" spans="1:11" x14ac:dyDescent="0.25">
      <c r="A287" s="45" t="s">
        <v>321</v>
      </c>
      <c r="B287" s="126" t="s">
        <v>54</v>
      </c>
      <c r="C287" s="126" t="s">
        <v>90</v>
      </c>
      <c r="D287" s="126" t="s">
        <v>72</v>
      </c>
      <c r="E287" s="126" t="s">
        <v>81</v>
      </c>
      <c r="F287" s="127">
        <v>9</v>
      </c>
      <c r="G287" s="126" t="s">
        <v>68</v>
      </c>
      <c r="H287" s="126" t="s">
        <v>322</v>
      </c>
      <c r="I287" s="127"/>
      <c r="J287" s="96">
        <f t="shared" si="16"/>
        <v>40000</v>
      </c>
      <c r="K287" s="96">
        <f t="shared" si="16"/>
        <v>40000</v>
      </c>
    </row>
    <row r="288" spans="1:11" ht="31.5" x14ac:dyDescent="0.25">
      <c r="A288" s="45" t="s">
        <v>130</v>
      </c>
      <c r="B288" s="126" t="s">
        <v>54</v>
      </c>
      <c r="C288" s="126" t="s">
        <v>90</v>
      </c>
      <c r="D288" s="126" t="s">
        <v>72</v>
      </c>
      <c r="E288" s="126" t="s">
        <v>81</v>
      </c>
      <c r="F288" s="127">
        <v>9</v>
      </c>
      <c r="G288" s="126" t="s">
        <v>68</v>
      </c>
      <c r="H288" s="126" t="s">
        <v>322</v>
      </c>
      <c r="I288" s="127">
        <v>310</v>
      </c>
      <c r="J288" s="96">
        <f>40000</f>
        <v>40000</v>
      </c>
      <c r="K288" s="96">
        <f>40000</f>
        <v>40000</v>
      </c>
    </row>
    <row r="289" spans="1:11" x14ac:dyDescent="0.25">
      <c r="A289" s="50" t="s">
        <v>131</v>
      </c>
      <c r="B289" s="126" t="s">
        <v>54</v>
      </c>
      <c r="C289" s="126">
        <v>11</v>
      </c>
      <c r="D289" s="126"/>
      <c r="E289" s="126"/>
      <c r="F289" s="127"/>
      <c r="G289" s="126"/>
      <c r="H289" s="126"/>
      <c r="I289" s="127"/>
      <c r="J289" s="97">
        <f t="shared" ref="J289:K291" si="17">J290</f>
        <v>3657407.81</v>
      </c>
      <c r="K289" s="97">
        <f t="shared" si="17"/>
        <v>3718704.12</v>
      </c>
    </row>
    <row r="290" spans="1:11" ht="31.5" x14ac:dyDescent="0.25">
      <c r="A290" s="44" t="s">
        <v>132</v>
      </c>
      <c r="B290" s="126" t="s">
        <v>54</v>
      </c>
      <c r="C290" s="126">
        <v>11</v>
      </c>
      <c r="D290" s="126" t="s">
        <v>84</v>
      </c>
      <c r="E290" s="126"/>
      <c r="F290" s="127"/>
      <c r="G290" s="126"/>
      <c r="H290" s="126"/>
      <c r="I290" s="127"/>
      <c r="J290" s="97">
        <f t="shared" si="17"/>
        <v>3657407.81</v>
      </c>
      <c r="K290" s="97">
        <f t="shared" si="17"/>
        <v>3718704.12</v>
      </c>
    </row>
    <row r="291" spans="1:11" ht="63" x14ac:dyDescent="0.25">
      <c r="A291" s="45" t="s">
        <v>299</v>
      </c>
      <c r="B291" s="126" t="s">
        <v>54</v>
      </c>
      <c r="C291" s="126" t="s">
        <v>94</v>
      </c>
      <c r="D291" s="126" t="s">
        <v>84</v>
      </c>
      <c r="E291" s="126" t="s">
        <v>86</v>
      </c>
      <c r="F291" s="127">
        <v>0</v>
      </c>
      <c r="G291" s="126" t="s">
        <v>68</v>
      </c>
      <c r="H291" s="126" t="s">
        <v>69</v>
      </c>
      <c r="I291" s="127"/>
      <c r="J291" s="97">
        <f t="shared" si="17"/>
        <v>3657407.81</v>
      </c>
      <c r="K291" s="97">
        <f t="shared" si="17"/>
        <v>3718704.12</v>
      </c>
    </row>
    <row r="292" spans="1:11" ht="63" x14ac:dyDescent="0.25">
      <c r="A292" s="45" t="s">
        <v>323</v>
      </c>
      <c r="B292" s="126" t="s">
        <v>54</v>
      </c>
      <c r="C292" s="126" t="s">
        <v>94</v>
      </c>
      <c r="D292" s="126" t="s">
        <v>84</v>
      </c>
      <c r="E292" s="126" t="s">
        <v>86</v>
      </c>
      <c r="F292" s="127">
        <v>4</v>
      </c>
      <c r="G292" s="126" t="s">
        <v>68</v>
      </c>
      <c r="H292" s="126" t="s">
        <v>69</v>
      </c>
      <c r="I292" s="127"/>
      <c r="J292" s="97">
        <f>J293+J295+J297</f>
        <v>3657407.81</v>
      </c>
      <c r="K292" s="97">
        <f>K293+K295+K297</f>
        <v>3718704.12</v>
      </c>
    </row>
    <row r="293" spans="1:11" x14ac:dyDescent="0.25">
      <c r="A293" s="45" t="s">
        <v>324</v>
      </c>
      <c r="B293" s="126" t="s">
        <v>54</v>
      </c>
      <c r="C293" s="126" t="s">
        <v>94</v>
      </c>
      <c r="D293" s="126" t="s">
        <v>84</v>
      </c>
      <c r="E293" s="126" t="s">
        <v>86</v>
      </c>
      <c r="F293" s="127">
        <v>4</v>
      </c>
      <c r="G293" s="126" t="s">
        <v>68</v>
      </c>
      <c r="H293" s="126" t="s">
        <v>325</v>
      </c>
      <c r="I293" s="127"/>
      <c r="J293" s="97">
        <f>J294</f>
        <v>625000</v>
      </c>
      <c r="K293" s="97">
        <f>K294</f>
        <v>625000</v>
      </c>
    </row>
    <row r="294" spans="1:11" ht="47.25" x14ac:dyDescent="0.25">
      <c r="A294" s="45" t="s">
        <v>75</v>
      </c>
      <c r="B294" s="126" t="s">
        <v>54</v>
      </c>
      <c r="C294" s="126" t="s">
        <v>94</v>
      </c>
      <c r="D294" s="126" t="s">
        <v>84</v>
      </c>
      <c r="E294" s="126" t="s">
        <v>86</v>
      </c>
      <c r="F294" s="127">
        <v>4</v>
      </c>
      <c r="G294" s="126" t="s">
        <v>68</v>
      </c>
      <c r="H294" s="126" t="s">
        <v>325</v>
      </c>
      <c r="I294" s="127">
        <v>240</v>
      </c>
      <c r="J294" s="97">
        <v>625000</v>
      </c>
      <c r="K294" s="97">
        <v>625000</v>
      </c>
    </row>
    <row r="295" spans="1:11" x14ac:dyDescent="0.25">
      <c r="A295" s="45" t="s">
        <v>273</v>
      </c>
      <c r="B295" s="126" t="s">
        <v>54</v>
      </c>
      <c r="C295" s="126" t="s">
        <v>94</v>
      </c>
      <c r="D295" s="126" t="s">
        <v>84</v>
      </c>
      <c r="E295" s="126" t="s">
        <v>86</v>
      </c>
      <c r="F295" s="127">
        <v>4</v>
      </c>
      <c r="G295" s="126" t="s">
        <v>68</v>
      </c>
      <c r="H295" s="126" t="s">
        <v>274</v>
      </c>
      <c r="I295" s="127"/>
      <c r="J295" s="97">
        <f>J296</f>
        <v>1532407.81</v>
      </c>
      <c r="K295" s="97">
        <f>K296</f>
        <v>1593704.12</v>
      </c>
    </row>
    <row r="296" spans="1:11" ht="47.25" x14ac:dyDescent="0.25">
      <c r="A296" s="45" t="s">
        <v>75</v>
      </c>
      <c r="B296" s="126" t="s">
        <v>54</v>
      </c>
      <c r="C296" s="126" t="s">
        <v>94</v>
      </c>
      <c r="D296" s="126" t="s">
        <v>84</v>
      </c>
      <c r="E296" s="126" t="s">
        <v>86</v>
      </c>
      <c r="F296" s="127">
        <v>4</v>
      </c>
      <c r="G296" s="126" t="s">
        <v>68</v>
      </c>
      <c r="H296" s="126" t="s">
        <v>274</v>
      </c>
      <c r="I296" s="127">
        <v>240</v>
      </c>
      <c r="J296" s="97">
        <v>1532407.81</v>
      </c>
      <c r="K296" s="97">
        <v>1593704.12</v>
      </c>
    </row>
    <row r="297" spans="1:11" x14ac:dyDescent="0.25">
      <c r="A297" s="45" t="s">
        <v>326</v>
      </c>
      <c r="B297" s="126" t="s">
        <v>54</v>
      </c>
      <c r="C297" s="126" t="s">
        <v>94</v>
      </c>
      <c r="D297" s="126" t="s">
        <v>84</v>
      </c>
      <c r="E297" s="126" t="s">
        <v>86</v>
      </c>
      <c r="F297" s="127">
        <v>4</v>
      </c>
      <c r="G297" s="126" t="s">
        <v>68</v>
      </c>
      <c r="H297" s="126" t="s">
        <v>327</v>
      </c>
      <c r="I297" s="127"/>
      <c r="J297" s="97">
        <f>J298</f>
        <v>1500000</v>
      </c>
      <c r="K297" s="97">
        <f>K298</f>
        <v>1500000</v>
      </c>
    </row>
    <row r="298" spans="1:11" ht="47.25" x14ac:dyDescent="0.25">
      <c r="A298" s="45" t="s">
        <v>75</v>
      </c>
      <c r="B298" s="126" t="s">
        <v>54</v>
      </c>
      <c r="C298" s="126" t="s">
        <v>94</v>
      </c>
      <c r="D298" s="126" t="s">
        <v>84</v>
      </c>
      <c r="E298" s="126" t="s">
        <v>86</v>
      </c>
      <c r="F298" s="127">
        <v>4</v>
      </c>
      <c r="G298" s="126" t="s">
        <v>68</v>
      </c>
      <c r="H298" s="126" t="s">
        <v>327</v>
      </c>
      <c r="I298" s="127">
        <v>240</v>
      </c>
      <c r="J298" s="97">
        <v>1500000</v>
      </c>
      <c r="K298" s="97">
        <v>1500000</v>
      </c>
    </row>
    <row r="299" spans="1:11" x14ac:dyDescent="0.25">
      <c r="A299" s="63" t="s">
        <v>338</v>
      </c>
      <c r="B299" s="64">
        <v>872</v>
      </c>
      <c r="C299" s="65" t="s">
        <v>333</v>
      </c>
      <c r="D299" s="65" t="s">
        <v>333</v>
      </c>
      <c r="E299" s="66" t="s">
        <v>333</v>
      </c>
      <c r="F299" s="67" t="s">
        <v>333</v>
      </c>
      <c r="G299" s="68" t="s">
        <v>333</v>
      </c>
      <c r="H299" s="69" t="s">
        <v>333</v>
      </c>
      <c r="I299" s="67"/>
      <c r="J299" s="99">
        <f>J300</f>
        <v>1255930.67</v>
      </c>
      <c r="K299" s="99">
        <f>K300</f>
        <v>1283731.8600000001</v>
      </c>
    </row>
    <row r="300" spans="1:11" x14ac:dyDescent="0.25">
      <c r="A300" s="43" t="s">
        <v>64</v>
      </c>
      <c r="B300" s="126" t="s">
        <v>339</v>
      </c>
      <c r="C300" s="126" t="s">
        <v>65</v>
      </c>
      <c r="D300" s="127" t="s">
        <v>22</v>
      </c>
      <c r="E300" s="126" t="s">
        <v>134</v>
      </c>
      <c r="F300" s="127"/>
      <c r="G300" s="126"/>
      <c r="H300" s="126"/>
      <c r="I300" s="127" t="s">
        <v>135</v>
      </c>
      <c r="J300" s="96">
        <f>J301+J309</f>
        <v>1255930.67</v>
      </c>
      <c r="K300" s="96">
        <f>K301+K309</f>
        <v>1283731.8600000001</v>
      </c>
    </row>
    <row r="301" spans="1:11" ht="63" x14ac:dyDescent="0.25">
      <c r="A301" s="43" t="s">
        <v>71</v>
      </c>
      <c r="B301" s="126" t="s">
        <v>339</v>
      </c>
      <c r="C301" s="126" t="s">
        <v>65</v>
      </c>
      <c r="D301" s="126" t="s">
        <v>72</v>
      </c>
      <c r="E301" s="126" t="s">
        <v>134</v>
      </c>
      <c r="F301" s="127"/>
      <c r="G301" s="126"/>
      <c r="H301" s="126"/>
      <c r="I301" s="127" t="s">
        <v>135</v>
      </c>
      <c r="J301" s="96">
        <f>J302</f>
        <v>1235930.67</v>
      </c>
      <c r="K301" s="96">
        <f>K302</f>
        <v>1263731.8600000001</v>
      </c>
    </row>
    <row r="302" spans="1:11" ht="31.5" x14ac:dyDescent="0.25">
      <c r="A302" s="44" t="s">
        <v>136</v>
      </c>
      <c r="B302" s="126" t="s">
        <v>339</v>
      </c>
      <c r="C302" s="126" t="s">
        <v>65</v>
      </c>
      <c r="D302" s="126" t="s">
        <v>72</v>
      </c>
      <c r="E302" s="126">
        <v>91</v>
      </c>
      <c r="F302" s="127">
        <v>0</v>
      </c>
      <c r="G302" s="126" t="s">
        <v>67</v>
      </c>
      <c r="H302" s="126" t="s">
        <v>69</v>
      </c>
      <c r="I302" s="127" t="s">
        <v>135</v>
      </c>
      <c r="J302" s="96">
        <f>J303</f>
        <v>1235930.67</v>
      </c>
      <c r="K302" s="96">
        <f>K303</f>
        <v>1263731.8600000001</v>
      </c>
    </row>
    <row r="303" spans="1:11" ht="31.5" x14ac:dyDescent="0.25">
      <c r="A303" s="44" t="s">
        <v>137</v>
      </c>
      <c r="B303" s="126" t="s">
        <v>339</v>
      </c>
      <c r="C303" s="126" t="s">
        <v>65</v>
      </c>
      <c r="D303" s="126" t="s">
        <v>72</v>
      </c>
      <c r="E303" s="126">
        <v>91</v>
      </c>
      <c r="F303" s="127">
        <v>1</v>
      </c>
      <c r="G303" s="126" t="s">
        <v>68</v>
      </c>
      <c r="H303" s="126" t="s">
        <v>69</v>
      </c>
      <c r="I303" s="127"/>
      <c r="J303" s="96">
        <f>J304+J306</f>
        <v>1235930.67</v>
      </c>
      <c r="K303" s="96">
        <f>K304+K306</f>
        <v>1263731.8600000001</v>
      </c>
    </row>
    <row r="304" spans="1:11" ht="78.75" x14ac:dyDescent="0.25">
      <c r="A304" s="44" t="s">
        <v>138</v>
      </c>
      <c r="B304" s="126" t="s">
        <v>339</v>
      </c>
      <c r="C304" s="126" t="s">
        <v>65</v>
      </c>
      <c r="D304" s="126" t="s">
        <v>72</v>
      </c>
      <c r="E304" s="126">
        <v>91</v>
      </c>
      <c r="F304" s="127">
        <v>1</v>
      </c>
      <c r="G304" s="126" t="s">
        <v>68</v>
      </c>
      <c r="H304" s="126" t="s">
        <v>139</v>
      </c>
      <c r="I304" s="127"/>
      <c r="J304" s="96">
        <f>J305</f>
        <v>1235930.67</v>
      </c>
      <c r="K304" s="96">
        <f>K305</f>
        <v>1263731.8600000001</v>
      </c>
    </row>
    <row r="305" spans="1:11" ht="31.5" x14ac:dyDescent="0.25">
      <c r="A305" s="44" t="s">
        <v>140</v>
      </c>
      <c r="B305" s="126" t="s">
        <v>339</v>
      </c>
      <c r="C305" s="126" t="s">
        <v>65</v>
      </c>
      <c r="D305" s="126" t="s">
        <v>72</v>
      </c>
      <c r="E305" s="126">
        <v>91</v>
      </c>
      <c r="F305" s="127">
        <v>1</v>
      </c>
      <c r="G305" s="126" t="s">
        <v>68</v>
      </c>
      <c r="H305" s="126" t="s">
        <v>139</v>
      </c>
      <c r="I305" s="127">
        <v>120</v>
      </c>
      <c r="J305" s="97">
        <v>1235930.67</v>
      </c>
      <c r="K305" s="97">
        <v>1263731.8600000001</v>
      </c>
    </row>
    <row r="306" spans="1:11" ht="78.75" hidden="1" customHeight="1" x14ac:dyDescent="0.25">
      <c r="A306" s="44" t="s">
        <v>141</v>
      </c>
      <c r="B306" s="126" t="s">
        <v>339</v>
      </c>
      <c r="C306" s="126" t="s">
        <v>65</v>
      </c>
      <c r="D306" s="126" t="s">
        <v>72</v>
      </c>
      <c r="E306" s="126">
        <v>91</v>
      </c>
      <c r="F306" s="127">
        <v>1</v>
      </c>
      <c r="G306" s="126" t="s">
        <v>68</v>
      </c>
      <c r="H306" s="126" t="s">
        <v>142</v>
      </c>
      <c r="I306" s="127"/>
      <c r="J306" s="97">
        <f>J307+J308</f>
        <v>0</v>
      </c>
      <c r="K306" s="97">
        <f>K307+K308</f>
        <v>0</v>
      </c>
    </row>
    <row r="307" spans="1:11" ht="47.25" hidden="1" customHeight="1" x14ac:dyDescent="0.25">
      <c r="A307" s="45" t="s">
        <v>75</v>
      </c>
      <c r="B307" s="126" t="s">
        <v>339</v>
      </c>
      <c r="C307" s="126" t="s">
        <v>65</v>
      </c>
      <c r="D307" s="126" t="s">
        <v>72</v>
      </c>
      <c r="E307" s="126">
        <v>91</v>
      </c>
      <c r="F307" s="127">
        <v>1</v>
      </c>
      <c r="G307" s="126" t="s">
        <v>68</v>
      </c>
      <c r="H307" s="126" t="s">
        <v>142</v>
      </c>
      <c r="I307" s="127">
        <v>240</v>
      </c>
      <c r="J307" s="97"/>
      <c r="K307" s="97"/>
    </row>
    <row r="308" spans="1:11" ht="15.75" hidden="1" customHeight="1" x14ac:dyDescent="0.25">
      <c r="A308" s="45" t="s">
        <v>77</v>
      </c>
      <c r="B308" s="126" t="s">
        <v>339</v>
      </c>
      <c r="C308" s="126" t="s">
        <v>65</v>
      </c>
      <c r="D308" s="126" t="s">
        <v>72</v>
      </c>
      <c r="E308" s="126">
        <v>91</v>
      </c>
      <c r="F308" s="127">
        <v>1</v>
      </c>
      <c r="G308" s="126" t="s">
        <v>68</v>
      </c>
      <c r="H308" s="126" t="s">
        <v>142</v>
      </c>
      <c r="I308" s="127">
        <v>850</v>
      </c>
      <c r="J308" s="97"/>
      <c r="K308" s="97"/>
    </row>
    <row r="309" spans="1:11" x14ac:dyDescent="0.25">
      <c r="A309" s="45" t="s">
        <v>98</v>
      </c>
      <c r="B309" s="126" t="s">
        <v>339</v>
      </c>
      <c r="C309" s="126" t="s">
        <v>65</v>
      </c>
      <c r="D309" s="126" t="s">
        <v>99</v>
      </c>
      <c r="E309" s="126"/>
      <c r="F309" s="126"/>
      <c r="G309" s="126"/>
      <c r="H309" s="126"/>
      <c r="I309" s="126"/>
      <c r="J309" s="97">
        <f t="shared" ref="J309:K312" si="18">J310</f>
        <v>20000</v>
      </c>
      <c r="K309" s="97">
        <f t="shared" si="18"/>
        <v>20000</v>
      </c>
    </row>
    <row r="310" spans="1:11" ht="31.5" x14ac:dyDescent="0.25">
      <c r="A310" s="44" t="s">
        <v>136</v>
      </c>
      <c r="B310" s="126" t="s">
        <v>339</v>
      </c>
      <c r="C310" s="126" t="s">
        <v>65</v>
      </c>
      <c r="D310" s="127">
        <v>13</v>
      </c>
      <c r="E310" s="126" t="s">
        <v>202</v>
      </c>
      <c r="F310" s="127">
        <v>0</v>
      </c>
      <c r="G310" s="126" t="s">
        <v>68</v>
      </c>
      <c r="H310" s="126" t="s">
        <v>69</v>
      </c>
      <c r="I310" s="127"/>
      <c r="J310" s="97">
        <f t="shared" si="18"/>
        <v>20000</v>
      </c>
      <c r="K310" s="97">
        <f t="shared" si="18"/>
        <v>20000</v>
      </c>
    </row>
    <row r="311" spans="1:11" ht="31.5" x14ac:dyDescent="0.25">
      <c r="A311" s="44" t="s">
        <v>137</v>
      </c>
      <c r="B311" s="126" t="s">
        <v>339</v>
      </c>
      <c r="C311" s="126" t="s">
        <v>65</v>
      </c>
      <c r="D311" s="127">
        <v>13</v>
      </c>
      <c r="E311" s="127">
        <v>91</v>
      </c>
      <c r="F311" s="127">
        <v>1</v>
      </c>
      <c r="G311" s="126" t="s">
        <v>68</v>
      </c>
      <c r="H311" s="126" t="s">
        <v>69</v>
      </c>
      <c r="I311" s="127"/>
      <c r="J311" s="97">
        <f t="shared" si="18"/>
        <v>20000</v>
      </c>
      <c r="K311" s="97">
        <f t="shared" si="18"/>
        <v>20000</v>
      </c>
    </row>
    <row r="312" spans="1:11" ht="63" x14ac:dyDescent="0.25">
      <c r="A312" s="44" t="s">
        <v>203</v>
      </c>
      <c r="B312" s="126" t="s">
        <v>339</v>
      </c>
      <c r="C312" s="126" t="s">
        <v>65</v>
      </c>
      <c r="D312" s="127">
        <v>13</v>
      </c>
      <c r="E312" s="127">
        <v>91</v>
      </c>
      <c r="F312" s="127">
        <v>1</v>
      </c>
      <c r="G312" s="126" t="s">
        <v>68</v>
      </c>
      <c r="H312" s="126" t="s">
        <v>204</v>
      </c>
      <c r="I312" s="127"/>
      <c r="J312" s="97">
        <f t="shared" si="18"/>
        <v>20000</v>
      </c>
      <c r="K312" s="97">
        <f t="shared" si="18"/>
        <v>20000</v>
      </c>
    </row>
    <row r="313" spans="1:11" ht="47.25" x14ac:dyDescent="0.25">
      <c r="A313" s="44" t="s">
        <v>75</v>
      </c>
      <c r="B313" s="126" t="s">
        <v>339</v>
      </c>
      <c r="C313" s="126" t="s">
        <v>65</v>
      </c>
      <c r="D313" s="127">
        <v>13</v>
      </c>
      <c r="E313" s="127">
        <v>91</v>
      </c>
      <c r="F313" s="127">
        <v>1</v>
      </c>
      <c r="G313" s="126" t="s">
        <v>68</v>
      </c>
      <c r="H313" s="126" t="s">
        <v>204</v>
      </c>
      <c r="I313" s="127">
        <v>240</v>
      </c>
      <c r="J313" s="97">
        <v>20000</v>
      </c>
      <c r="K313" s="97">
        <v>20000</v>
      </c>
    </row>
    <row r="314" spans="1:11" x14ac:dyDescent="0.25">
      <c r="A314" s="184" t="s">
        <v>133</v>
      </c>
      <c r="B314" s="185"/>
      <c r="C314" s="186"/>
      <c r="D314" s="185"/>
      <c r="E314" s="186"/>
      <c r="F314" s="185"/>
      <c r="G314" s="186"/>
      <c r="H314" s="187"/>
      <c r="I314" s="187"/>
      <c r="J314" s="96">
        <f>J20+J299</f>
        <v>160885666.88</v>
      </c>
      <c r="K314" s="96">
        <f>K20+K299</f>
        <v>163352592.07000002</v>
      </c>
    </row>
    <row r="315" spans="1:11" x14ac:dyDescent="0.25">
      <c r="A315" s="188"/>
      <c r="B315" s="189"/>
      <c r="C315" s="189"/>
      <c r="D315" s="189"/>
      <c r="E315" s="189"/>
      <c r="F315" s="189"/>
      <c r="G315" s="189"/>
      <c r="H315" s="189"/>
      <c r="I315" s="189">
        <v>1</v>
      </c>
      <c r="J315" s="190">
        <f>J21+J300</f>
        <v>26791441.170000002</v>
      </c>
      <c r="K315" s="190">
        <f>K21+K300</f>
        <v>26117315.379999999</v>
      </c>
    </row>
    <row r="316" spans="1:11" x14ac:dyDescent="0.25">
      <c r="A316" s="188"/>
      <c r="B316" s="189"/>
      <c r="C316" s="189"/>
      <c r="D316" s="189"/>
      <c r="E316" s="189"/>
      <c r="F316" s="189"/>
      <c r="G316" s="189"/>
      <c r="H316" s="189"/>
      <c r="I316" s="189">
        <v>2</v>
      </c>
      <c r="J316" s="190">
        <f>J109</f>
        <v>311237.99999999994</v>
      </c>
      <c r="K316" s="190">
        <f>K109</f>
        <v>321878.49</v>
      </c>
    </row>
    <row r="317" spans="1:11" x14ac:dyDescent="0.25">
      <c r="A317" s="188"/>
      <c r="B317" s="189"/>
      <c r="C317" s="189"/>
      <c r="D317" s="189"/>
      <c r="E317" s="189"/>
      <c r="F317" s="189"/>
      <c r="G317" s="189"/>
      <c r="H317" s="189"/>
      <c r="I317" s="189">
        <v>3</v>
      </c>
      <c r="J317" s="190">
        <f>J117</f>
        <v>1282578.6000000001</v>
      </c>
      <c r="K317" s="190">
        <f>K117</f>
        <v>630978.6</v>
      </c>
    </row>
    <row r="318" spans="1:11" x14ac:dyDescent="0.25">
      <c r="A318" s="188"/>
      <c r="B318" s="189"/>
      <c r="C318" s="189"/>
      <c r="D318" s="189"/>
      <c r="E318" s="189"/>
      <c r="F318" s="189"/>
      <c r="G318" s="189"/>
      <c r="H318" s="189"/>
      <c r="I318" s="189">
        <v>4</v>
      </c>
      <c r="J318" s="190">
        <f>J144</f>
        <v>31812268.800000001</v>
      </c>
      <c r="K318" s="190">
        <f>K144</f>
        <v>31857495.420000002</v>
      </c>
    </row>
    <row r="319" spans="1:11" x14ac:dyDescent="0.25">
      <c r="A319" s="188"/>
      <c r="B319" s="189"/>
      <c r="C319" s="189"/>
      <c r="D319" s="189"/>
      <c r="E319" s="189"/>
      <c r="F319" s="189"/>
      <c r="G319" s="189"/>
      <c r="H319" s="189"/>
      <c r="I319" s="189">
        <v>5</v>
      </c>
      <c r="J319" s="190">
        <f>J169</f>
        <v>67698123.340000004</v>
      </c>
      <c r="K319" s="190">
        <f>K169</f>
        <v>69344373.659999996</v>
      </c>
    </row>
    <row r="320" spans="1:11" x14ac:dyDescent="0.25">
      <c r="A320" s="188"/>
      <c r="B320" s="189"/>
      <c r="C320" s="189"/>
      <c r="D320" s="189"/>
      <c r="E320" s="189"/>
      <c r="F320" s="189"/>
      <c r="G320" s="189"/>
      <c r="H320" s="189"/>
      <c r="I320" s="189">
        <v>6</v>
      </c>
      <c r="J320" s="191"/>
      <c r="K320" s="191"/>
    </row>
    <row r="321" spans="1:11" x14ac:dyDescent="0.25">
      <c r="A321" s="188"/>
      <c r="B321" s="189"/>
      <c r="C321" s="189"/>
      <c r="D321" s="189"/>
      <c r="E321" s="189"/>
      <c r="F321" s="189"/>
      <c r="G321" s="189"/>
      <c r="H321" s="189"/>
      <c r="I321" s="189">
        <v>7</v>
      </c>
      <c r="J321" s="190">
        <f>J238</f>
        <v>2966610</v>
      </c>
      <c r="K321" s="190">
        <f>K238</f>
        <v>3047960.4</v>
      </c>
    </row>
    <row r="322" spans="1:11" x14ac:dyDescent="0.25">
      <c r="A322" s="188"/>
      <c r="B322" s="189"/>
      <c r="C322" s="189"/>
      <c r="D322" s="189"/>
      <c r="E322" s="189"/>
      <c r="F322" s="189"/>
      <c r="G322" s="189"/>
      <c r="H322" s="189"/>
      <c r="I322" s="189">
        <v>8</v>
      </c>
      <c r="J322" s="190">
        <f>J250</f>
        <v>25567479.16</v>
      </c>
      <c r="K322" s="190">
        <f>K250</f>
        <v>27477566</v>
      </c>
    </row>
    <row r="323" spans="1:11" x14ac:dyDescent="0.25">
      <c r="A323" s="188"/>
      <c r="B323" s="189"/>
      <c r="C323" s="189"/>
      <c r="D323" s="189"/>
      <c r="E323" s="189"/>
      <c r="F323" s="189"/>
      <c r="G323" s="189"/>
      <c r="H323" s="189"/>
      <c r="I323" s="189">
        <v>10</v>
      </c>
      <c r="J323" s="190">
        <f>J279</f>
        <v>798520</v>
      </c>
      <c r="K323" s="190">
        <f>K279</f>
        <v>836320</v>
      </c>
    </row>
    <row r="324" spans="1:11" x14ac:dyDescent="0.25">
      <c r="A324" s="188"/>
      <c r="B324" s="189"/>
      <c r="C324" s="189"/>
      <c r="D324" s="189"/>
      <c r="E324" s="189"/>
      <c r="F324" s="189"/>
      <c r="G324" s="189"/>
      <c r="H324" s="189"/>
      <c r="I324" s="189">
        <v>11</v>
      </c>
      <c r="J324" s="190">
        <f>J289</f>
        <v>3657407.81</v>
      </c>
      <c r="K324" s="190">
        <f>K289</f>
        <v>3718704.12</v>
      </c>
    </row>
    <row r="325" spans="1:11" x14ac:dyDescent="0.25">
      <c r="A325" s="188"/>
      <c r="B325" s="189"/>
      <c r="C325" s="189"/>
      <c r="D325" s="189"/>
      <c r="E325" s="189"/>
      <c r="F325" s="189"/>
      <c r="G325" s="189"/>
      <c r="H325" s="189"/>
      <c r="I325" s="189">
        <v>12</v>
      </c>
      <c r="J325" s="190"/>
      <c r="K325" s="190"/>
    </row>
    <row r="326" spans="1:11" x14ac:dyDescent="0.25">
      <c r="A326" s="188"/>
      <c r="B326" s="189"/>
      <c r="C326" s="189"/>
      <c r="D326" s="189"/>
      <c r="E326" s="189"/>
      <c r="F326" s="189"/>
      <c r="G326" s="189"/>
      <c r="H326" s="189"/>
      <c r="I326" s="189">
        <v>99</v>
      </c>
      <c r="J326" s="190">
        <v>4131300</v>
      </c>
      <c r="K326" s="190">
        <v>8613530</v>
      </c>
    </row>
    <row r="327" spans="1:11" x14ac:dyDescent="0.25">
      <c r="A327" s="188"/>
      <c r="B327" s="189"/>
      <c r="C327" s="189"/>
      <c r="D327" s="189"/>
      <c r="E327" s="189"/>
      <c r="F327" s="189"/>
      <c r="G327" s="189"/>
      <c r="H327" s="189"/>
      <c r="I327" s="189"/>
      <c r="J327" s="190">
        <f>SUM(J315:J326)</f>
        <v>165016966.88000003</v>
      </c>
      <c r="K327" s="190">
        <f>SUM(K315:K326)</f>
        <v>171966122.06999999</v>
      </c>
    </row>
    <row r="328" spans="1:11" x14ac:dyDescent="0.25">
      <c r="I328" s="177" t="s">
        <v>413</v>
      </c>
      <c r="J328" s="178">
        <f>'Прил 2'!C51</f>
        <v>165016966.88</v>
      </c>
      <c r="K328" s="178">
        <f>'Прил 2'!D51</f>
        <v>171966122.07000002</v>
      </c>
    </row>
    <row r="329" spans="1:11" x14ac:dyDescent="0.25">
      <c r="I329" s="177" t="s">
        <v>414</v>
      </c>
      <c r="J329" s="178">
        <f>J328-J327</f>
        <v>0</v>
      </c>
      <c r="K329" s="178">
        <f>K328-K327</f>
        <v>0</v>
      </c>
    </row>
  </sheetData>
  <autoFilter ref="A20:K20"/>
  <mergeCells count="16">
    <mergeCell ref="A16:K16"/>
    <mergeCell ref="A18:K18"/>
    <mergeCell ref="E19:H19"/>
    <mergeCell ref="F9:K9"/>
    <mergeCell ref="F10:K10"/>
    <mergeCell ref="F11:K11"/>
    <mergeCell ref="F12:K12"/>
    <mergeCell ref="F13:K13"/>
    <mergeCell ref="F14:K14"/>
    <mergeCell ref="E7:K7"/>
    <mergeCell ref="E1:K1"/>
    <mergeCell ref="E2:K2"/>
    <mergeCell ref="E3:K3"/>
    <mergeCell ref="E4:K4"/>
    <mergeCell ref="E5:K5"/>
    <mergeCell ref="E6:K6"/>
  </mergeCells>
  <pageMargins left="0.78740157480314965" right="0.19685039370078741" top="0.39370078740157483" bottom="0.39370078740157483" header="0" footer="0.19685039370078741"/>
  <pageSetup paperSize="9" fitToHeight="30" orientation="landscape" r:id="rId1"/>
  <headerFooter differentFirst="1">
    <oddHeader>&amp;C&amp;"PT Astra Serif,обычный"&amp;8&amp;K000000&amp;P</oddHeader>
  </headerFooter>
  <rowBreaks count="1" manualBreakCount="1">
    <brk id="298"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144"/>
  <sheetViews>
    <sheetView view="pageBreakPreview" zoomScaleNormal="100" zoomScaleSheetLayoutView="100" workbookViewId="0">
      <selection activeCell="A7" sqref="A7"/>
    </sheetView>
  </sheetViews>
  <sheetFormatPr defaultColWidth="8.85546875" defaultRowHeight="15.75" x14ac:dyDescent="0.25"/>
  <cols>
    <col min="1" max="1" width="73.5703125" style="30" customWidth="1"/>
    <col min="2" max="2" width="4.42578125" style="31" customWidth="1"/>
    <col min="3" max="3" width="4.7109375" style="31" customWidth="1"/>
    <col min="4" max="4" width="4.42578125" style="31" customWidth="1"/>
    <col min="5" max="5" width="7.5703125" style="31" customWidth="1"/>
    <col min="6" max="6" width="9.28515625" style="31" customWidth="1"/>
    <col min="7" max="8" width="6.7109375" style="31" customWidth="1"/>
    <col min="9" max="9" width="18.28515625" style="32" customWidth="1"/>
    <col min="10" max="16384" width="8.85546875" style="24"/>
  </cols>
  <sheetData>
    <row r="1" spans="1:9" x14ac:dyDescent="0.25">
      <c r="B1" s="246" t="s">
        <v>488</v>
      </c>
      <c r="C1" s="246"/>
      <c r="D1" s="246"/>
      <c r="E1" s="246"/>
      <c r="F1" s="246"/>
      <c r="G1" s="246"/>
      <c r="H1" s="246"/>
      <c r="I1" s="246"/>
    </row>
    <row r="2" spans="1:9" x14ac:dyDescent="0.25">
      <c r="B2" s="246" t="s">
        <v>38</v>
      </c>
      <c r="C2" s="246"/>
      <c r="D2" s="246"/>
      <c r="E2" s="246"/>
      <c r="F2" s="246"/>
      <c r="G2" s="246"/>
      <c r="H2" s="246"/>
      <c r="I2" s="246"/>
    </row>
    <row r="3" spans="1:9" x14ac:dyDescent="0.25">
      <c r="B3" s="246" t="s">
        <v>436</v>
      </c>
      <c r="C3" s="246"/>
      <c r="D3" s="246"/>
      <c r="E3" s="246"/>
      <c r="F3" s="246"/>
      <c r="G3" s="246"/>
      <c r="H3" s="246"/>
      <c r="I3" s="246"/>
    </row>
    <row r="4" spans="1:9" x14ac:dyDescent="0.25">
      <c r="B4" s="246" t="s">
        <v>440</v>
      </c>
      <c r="C4" s="246"/>
      <c r="D4" s="246"/>
      <c r="E4" s="246"/>
      <c r="F4" s="246"/>
      <c r="G4" s="246"/>
      <c r="H4" s="246"/>
      <c r="I4" s="246"/>
    </row>
    <row r="5" spans="1:9" x14ac:dyDescent="0.25">
      <c r="B5" s="246" t="s">
        <v>437</v>
      </c>
      <c r="C5" s="246"/>
      <c r="D5" s="246"/>
      <c r="E5" s="246"/>
      <c r="F5" s="246"/>
      <c r="G5" s="246"/>
      <c r="H5" s="246"/>
      <c r="I5" s="246"/>
    </row>
    <row r="6" spans="1:9" x14ac:dyDescent="0.25">
      <c r="B6" s="246" t="s">
        <v>441</v>
      </c>
      <c r="C6" s="246"/>
      <c r="D6" s="246"/>
      <c r="E6" s="246"/>
      <c r="F6" s="246"/>
      <c r="G6" s="246"/>
      <c r="H6" s="246"/>
      <c r="I6" s="246"/>
    </row>
    <row r="7" spans="1:9" x14ac:dyDescent="0.25">
      <c r="B7" s="246" t="s">
        <v>504</v>
      </c>
      <c r="C7" s="246"/>
      <c r="D7" s="246"/>
      <c r="E7" s="246"/>
      <c r="F7" s="246"/>
      <c r="G7" s="246"/>
      <c r="H7" s="246"/>
      <c r="I7" s="246"/>
    </row>
    <row r="10" spans="1:9" ht="15.75" customHeight="1" x14ac:dyDescent="0.25">
      <c r="A10" s="22"/>
      <c r="B10" s="23"/>
      <c r="C10" s="266" t="s">
        <v>340</v>
      </c>
      <c r="D10" s="266"/>
      <c r="E10" s="266"/>
      <c r="F10" s="266"/>
      <c r="G10" s="266"/>
      <c r="H10" s="266"/>
      <c r="I10" s="266"/>
    </row>
    <row r="11" spans="1:9" ht="15.75" customHeight="1" x14ac:dyDescent="0.25">
      <c r="A11" s="22"/>
      <c r="B11" s="23"/>
      <c r="C11" s="265" t="s">
        <v>38</v>
      </c>
      <c r="D11" s="265"/>
      <c r="E11" s="265"/>
      <c r="F11" s="265"/>
      <c r="G11" s="265"/>
      <c r="H11" s="265"/>
      <c r="I11" s="265"/>
    </row>
    <row r="12" spans="1:9" x14ac:dyDescent="0.25">
      <c r="A12" s="22"/>
      <c r="B12" s="23"/>
      <c r="C12" s="244" t="s">
        <v>40</v>
      </c>
      <c r="D12" s="244"/>
      <c r="E12" s="244"/>
      <c r="F12" s="244"/>
      <c r="G12" s="244"/>
      <c r="H12" s="244"/>
      <c r="I12" s="244"/>
    </row>
    <row r="13" spans="1:9" x14ac:dyDescent="0.25">
      <c r="A13" s="22"/>
      <c r="B13" s="23"/>
      <c r="C13" s="244" t="s">
        <v>41</v>
      </c>
      <c r="D13" s="244"/>
      <c r="E13" s="244"/>
      <c r="F13" s="244"/>
      <c r="G13" s="244"/>
      <c r="H13" s="244"/>
      <c r="I13" s="244"/>
    </row>
    <row r="14" spans="1:9" ht="15.75" customHeight="1" x14ac:dyDescent="0.25">
      <c r="A14" s="22"/>
      <c r="B14" s="23"/>
      <c r="C14" s="266" t="s">
        <v>419</v>
      </c>
      <c r="D14" s="266"/>
      <c r="E14" s="266"/>
      <c r="F14" s="266"/>
      <c r="G14" s="266"/>
      <c r="H14" s="266"/>
      <c r="I14" s="266"/>
    </row>
    <row r="15" spans="1:9" ht="15.75" customHeight="1" x14ac:dyDescent="0.25">
      <c r="A15" s="22"/>
      <c r="B15" s="23"/>
      <c r="C15" s="266" t="s">
        <v>435</v>
      </c>
      <c r="D15" s="266"/>
      <c r="E15" s="266"/>
      <c r="F15" s="266"/>
      <c r="G15" s="266"/>
      <c r="H15" s="266"/>
      <c r="I15" s="266"/>
    </row>
    <row r="16" spans="1:9" x14ac:dyDescent="0.25">
      <c r="A16" s="22"/>
      <c r="B16" s="23"/>
      <c r="C16" s="23"/>
      <c r="D16" s="23"/>
      <c r="E16" s="23"/>
      <c r="F16" s="23"/>
      <c r="G16" s="23"/>
      <c r="H16" s="23"/>
      <c r="I16" s="25"/>
    </row>
    <row r="17" spans="1:9" x14ac:dyDescent="0.25">
      <c r="A17" s="22"/>
      <c r="B17" s="23"/>
      <c r="C17" s="23"/>
      <c r="D17" s="23"/>
      <c r="E17" s="23"/>
      <c r="F17" s="23"/>
      <c r="G17" s="23"/>
      <c r="H17" s="23"/>
      <c r="I17" s="25"/>
    </row>
    <row r="18" spans="1:9" ht="96.75" customHeight="1" x14ac:dyDescent="0.25">
      <c r="A18" s="242" t="s">
        <v>425</v>
      </c>
      <c r="B18" s="242"/>
      <c r="C18" s="242"/>
      <c r="D18" s="242"/>
      <c r="E18" s="242"/>
      <c r="F18" s="242"/>
      <c r="G18" s="242"/>
      <c r="H18" s="242"/>
      <c r="I18" s="242"/>
    </row>
    <row r="19" spans="1:9" x14ac:dyDescent="0.25">
      <c r="A19" s="26"/>
      <c r="B19" s="27"/>
      <c r="C19" s="27"/>
      <c r="D19" s="27"/>
      <c r="E19" s="27"/>
      <c r="F19" s="27"/>
      <c r="G19" s="27"/>
      <c r="H19" s="27"/>
      <c r="I19" s="28"/>
    </row>
    <row r="20" spans="1:9" x14ac:dyDescent="0.25">
      <c r="A20" s="267" t="s">
        <v>37</v>
      </c>
      <c r="B20" s="267"/>
      <c r="C20" s="267"/>
      <c r="D20" s="267"/>
      <c r="E20" s="267"/>
      <c r="F20" s="267"/>
      <c r="G20" s="267"/>
      <c r="H20" s="267"/>
      <c r="I20" s="267"/>
    </row>
    <row r="21" spans="1:9" ht="94.5" x14ac:dyDescent="0.25">
      <c r="A21" s="29" t="s">
        <v>59</v>
      </c>
      <c r="B21" s="256" t="s">
        <v>62</v>
      </c>
      <c r="C21" s="257"/>
      <c r="D21" s="257"/>
      <c r="E21" s="257"/>
      <c r="F21" s="29" t="s">
        <v>342</v>
      </c>
      <c r="G21" s="29" t="s">
        <v>330</v>
      </c>
      <c r="H21" s="29" t="s">
        <v>331</v>
      </c>
      <c r="I21" s="29" t="s">
        <v>53</v>
      </c>
    </row>
    <row r="22" spans="1:9" ht="47.25" x14ac:dyDescent="0.25">
      <c r="A22" s="72" t="s">
        <v>171</v>
      </c>
      <c r="B22" s="73" t="s">
        <v>65</v>
      </c>
      <c r="C22" s="74" t="s">
        <v>67</v>
      </c>
      <c r="D22" s="73" t="s">
        <v>68</v>
      </c>
      <c r="E22" s="73" t="s">
        <v>69</v>
      </c>
      <c r="F22" s="75" t="s">
        <v>333</v>
      </c>
      <c r="G22" s="76" t="s">
        <v>333</v>
      </c>
      <c r="H22" s="76" t="s">
        <v>333</v>
      </c>
      <c r="I22" s="77">
        <f>I23+I29</f>
        <v>13923239.75</v>
      </c>
    </row>
    <row r="23" spans="1:9" x14ac:dyDescent="0.25">
      <c r="A23" s="78" t="s">
        <v>343</v>
      </c>
      <c r="B23" s="79" t="s">
        <v>65</v>
      </c>
      <c r="C23" s="35" t="s">
        <v>70</v>
      </c>
      <c r="D23" s="79" t="s">
        <v>68</v>
      </c>
      <c r="E23" s="79" t="s">
        <v>69</v>
      </c>
      <c r="F23" s="62" t="s">
        <v>333</v>
      </c>
      <c r="G23" s="34" t="s">
        <v>333</v>
      </c>
      <c r="H23" s="34" t="s">
        <v>333</v>
      </c>
      <c r="I23" s="80">
        <f>SUM(I24:I28)</f>
        <v>13613239.75</v>
      </c>
    </row>
    <row r="24" spans="1:9" hidden="1" x14ac:dyDescent="0.25">
      <c r="A24" s="78" t="s">
        <v>400</v>
      </c>
      <c r="B24" s="79" t="s">
        <v>65</v>
      </c>
      <c r="C24" s="35" t="s">
        <v>70</v>
      </c>
      <c r="D24" s="79" t="s">
        <v>68</v>
      </c>
      <c r="E24" s="79" t="s">
        <v>401</v>
      </c>
      <c r="F24" s="62">
        <v>240</v>
      </c>
      <c r="G24" s="34">
        <v>1</v>
      </c>
      <c r="H24" s="34">
        <v>13</v>
      </c>
      <c r="I24" s="80">
        <f>'Прил 6'!J68</f>
        <v>0</v>
      </c>
    </row>
    <row r="25" spans="1:9" x14ac:dyDescent="0.25">
      <c r="A25" s="78" t="s">
        <v>173</v>
      </c>
      <c r="B25" s="79" t="s">
        <v>65</v>
      </c>
      <c r="C25" s="35" t="s">
        <v>70</v>
      </c>
      <c r="D25" s="79" t="s">
        <v>68</v>
      </c>
      <c r="E25" s="79">
        <v>29060</v>
      </c>
      <c r="F25" s="62">
        <v>240</v>
      </c>
      <c r="G25" s="34">
        <v>1</v>
      </c>
      <c r="H25" s="34">
        <v>13</v>
      </c>
      <c r="I25" s="80">
        <f>'Прил 6'!J70</f>
        <v>7478797.8499999996</v>
      </c>
    </row>
    <row r="26" spans="1:9" x14ac:dyDescent="0.25">
      <c r="A26" s="78" t="s">
        <v>175</v>
      </c>
      <c r="B26" s="79" t="s">
        <v>65</v>
      </c>
      <c r="C26" s="35" t="s">
        <v>70</v>
      </c>
      <c r="D26" s="79" t="s">
        <v>68</v>
      </c>
      <c r="E26" s="79">
        <v>29270</v>
      </c>
      <c r="F26" s="62">
        <v>240</v>
      </c>
      <c r="G26" s="34">
        <v>1</v>
      </c>
      <c r="H26" s="34">
        <v>13</v>
      </c>
      <c r="I26" s="80">
        <f>'Прил 6'!J72</f>
        <v>2500000</v>
      </c>
    </row>
    <row r="27" spans="1:9" x14ac:dyDescent="0.25">
      <c r="A27" s="45" t="s">
        <v>451</v>
      </c>
      <c r="B27" s="79" t="s">
        <v>65</v>
      </c>
      <c r="C27" s="35">
        <v>1</v>
      </c>
      <c r="D27" s="79" t="s">
        <v>68</v>
      </c>
      <c r="E27" s="79" t="s">
        <v>452</v>
      </c>
      <c r="F27" s="62">
        <v>240</v>
      </c>
      <c r="G27" s="34">
        <v>1</v>
      </c>
      <c r="H27" s="34">
        <v>13</v>
      </c>
      <c r="I27" s="80">
        <f>'Прил 6'!J74</f>
        <v>3500000</v>
      </c>
    </row>
    <row r="28" spans="1:9" x14ac:dyDescent="0.25">
      <c r="A28" s="78" t="s">
        <v>177</v>
      </c>
      <c r="B28" s="79" t="s">
        <v>65</v>
      </c>
      <c r="C28" s="35" t="s">
        <v>70</v>
      </c>
      <c r="D28" s="79" t="s">
        <v>68</v>
      </c>
      <c r="E28" s="79">
        <v>29290</v>
      </c>
      <c r="F28" s="62">
        <v>240</v>
      </c>
      <c r="G28" s="34">
        <v>1</v>
      </c>
      <c r="H28" s="34">
        <v>13</v>
      </c>
      <c r="I28" s="80">
        <f>'Прил 6'!J76</f>
        <v>134441.9</v>
      </c>
    </row>
    <row r="29" spans="1:9" ht="31.5" x14ac:dyDescent="0.25">
      <c r="A29" s="78" t="s">
        <v>344</v>
      </c>
      <c r="B29" s="79" t="s">
        <v>65</v>
      </c>
      <c r="C29" s="35">
        <v>2</v>
      </c>
      <c r="D29" s="79" t="s">
        <v>68</v>
      </c>
      <c r="E29" s="79" t="s">
        <v>69</v>
      </c>
      <c r="F29" s="62"/>
      <c r="G29" s="34"/>
      <c r="H29" s="34"/>
      <c r="I29" s="80">
        <f>I30</f>
        <v>310000</v>
      </c>
    </row>
    <row r="30" spans="1:9" ht="31.5" x14ac:dyDescent="0.25">
      <c r="A30" s="78" t="s">
        <v>180</v>
      </c>
      <c r="B30" s="79" t="s">
        <v>65</v>
      </c>
      <c r="C30" s="35">
        <v>2</v>
      </c>
      <c r="D30" s="79" t="s">
        <v>68</v>
      </c>
      <c r="E30" s="79">
        <v>29070</v>
      </c>
      <c r="F30" s="62">
        <v>240</v>
      </c>
      <c r="G30" s="34">
        <v>1</v>
      </c>
      <c r="H30" s="34">
        <v>13</v>
      </c>
      <c r="I30" s="80">
        <f>'Прил 6'!J79</f>
        <v>310000</v>
      </c>
    </row>
    <row r="31" spans="1:9" ht="94.5" x14ac:dyDescent="0.25">
      <c r="A31" s="78" t="s">
        <v>212</v>
      </c>
      <c r="B31" s="79" t="s">
        <v>66</v>
      </c>
      <c r="C31" s="35" t="s">
        <v>67</v>
      </c>
      <c r="D31" s="79" t="s">
        <v>68</v>
      </c>
      <c r="E31" s="79" t="s">
        <v>69</v>
      </c>
      <c r="F31" s="62" t="s">
        <v>333</v>
      </c>
      <c r="G31" s="34" t="s">
        <v>333</v>
      </c>
      <c r="H31" s="34" t="s">
        <v>333</v>
      </c>
      <c r="I31" s="80">
        <f>I32+I36+I38+I40</f>
        <v>964178.6</v>
      </c>
    </row>
    <row r="32" spans="1:9" ht="31.5" x14ac:dyDescent="0.25">
      <c r="A32" s="78" t="s">
        <v>345</v>
      </c>
      <c r="B32" s="79" t="s">
        <v>66</v>
      </c>
      <c r="C32" s="35" t="s">
        <v>70</v>
      </c>
      <c r="D32" s="79" t="s">
        <v>68</v>
      </c>
      <c r="E32" s="79" t="s">
        <v>69</v>
      </c>
      <c r="F32" s="62" t="s">
        <v>333</v>
      </c>
      <c r="G32" s="34" t="s">
        <v>333</v>
      </c>
      <c r="H32" s="34" t="s">
        <v>333</v>
      </c>
      <c r="I32" s="80">
        <f>SUM(I33:I35)</f>
        <v>340000</v>
      </c>
    </row>
    <row r="33" spans="1:9" hidden="1" x14ac:dyDescent="0.25">
      <c r="A33" s="78" t="s">
        <v>214</v>
      </c>
      <c r="B33" s="79" t="s">
        <v>66</v>
      </c>
      <c r="C33" s="35">
        <v>1</v>
      </c>
      <c r="D33" s="79" t="s">
        <v>68</v>
      </c>
      <c r="E33" s="79">
        <v>29080</v>
      </c>
      <c r="F33" s="62">
        <v>240</v>
      </c>
      <c r="G33" s="34">
        <v>3</v>
      </c>
      <c r="H33" s="34">
        <v>9</v>
      </c>
      <c r="I33" s="80">
        <f>'Прил 6'!J152</f>
        <v>0</v>
      </c>
    </row>
    <row r="34" spans="1:9" ht="31.5" hidden="1" x14ac:dyDescent="0.25">
      <c r="A34" s="78" t="s">
        <v>417</v>
      </c>
      <c r="B34" s="79" t="s">
        <v>66</v>
      </c>
      <c r="C34" s="35">
        <v>1</v>
      </c>
      <c r="D34" s="79" t="s">
        <v>68</v>
      </c>
      <c r="E34" s="79">
        <v>29560</v>
      </c>
      <c r="F34" s="62">
        <v>240</v>
      </c>
      <c r="G34" s="34">
        <v>3</v>
      </c>
      <c r="H34" s="34">
        <v>9</v>
      </c>
      <c r="I34" s="80">
        <f>'Прил 6'!J154</f>
        <v>0</v>
      </c>
    </row>
    <row r="35" spans="1:9" x14ac:dyDescent="0.25">
      <c r="A35" s="78" t="s">
        <v>217</v>
      </c>
      <c r="B35" s="79" t="s">
        <v>66</v>
      </c>
      <c r="C35" s="35">
        <v>1</v>
      </c>
      <c r="D35" s="79" t="s">
        <v>68</v>
      </c>
      <c r="E35" s="79">
        <v>29580</v>
      </c>
      <c r="F35" s="62">
        <v>240</v>
      </c>
      <c r="G35" s="34">
        <v>3</v>
      </c>
      <c r="H35" s="34">
        <v>9</v>
      </c>
      <c r="I35" s="80">
        <f>'Прил 6'!J156</f>
        <v>340000</v>
      </c>
    </row>
    <row r="36" spans="1:9" ht="47.25" hidden="1" x14ac:dyDescent="0.25">
      <c r="A36" s="78" t="s">
        <v>346</v>
      </c>
      <c r="B36" s="79" t="s">
        <v>66</v>
      </c>
      <c r="C36" s="35">
        <v>2</v>
      </c>
      <c r="D36" s="79" t="s">
        <v>68</v>
      </c>
      <c r="E36" s="79" t="s">
        <v>69</v>
      </c>
      <c r="F36" s="62"/>
      <c r="G36" s="34"/>
      <c r="H36" s="34"/>
      <c r="I36" s="80">
        <f>I37</f>
        <v>0</v>
      </c>
    </row>
    <row r="37" spans="1:9" ht="31.5" hidden="1" x14ac:dyDescent="0.25">
      <c r="A37" s="78" t="s">
        <v>220</v>
      </c>
      <c r="B37" s="79" t="s">
        <v>66</v>
      </c>
      <c r="C37" s="35">
        <v>2</v>
      </c>
      <c r="D37" s="79" t="s">
        <v>68</v>
      </c>
      <c r="E37" s="79">
        <v>29030</v>
      </c>
      <c r="F37" s="62">
        <v>240</v>
      </c>
      <c r="G37" s="34">
        <v>3</v>
      </c>
      <c r="H37" s="34">
        <v>10</v>
      </c>
      <c r="I37" s="80">
        <f>'Прил 6'!J161</f>
        <v>0</v>
      </c>
    </row>
    <row r="38" spans="1:9" ht="63" x14ac:dyDescent="0.25">
      <c r="A38" s="78" t="s">
        <v>347</v>
      </c>
      <c r="B38" s="79" t="s">
        <v>66</v>
      </c>
      <c r="C38" s="35">
        <v>3</v>
      </c>
      <c r="D38" s="79" t="s">
        <v>68</v>
      </c>
      <c r="E38" s="79" t="s">
        <v>69</v>
      </c>
      <c r="F38" s="62"/>
      <c r="G38" s="34"/>
      <c r="H38" s="34"/>
      <c r="I38" s="80">
        <f>SUM(I39:I39)</f>
        <v>352678.6</v>
      </c>
    </row>
    <row r="39" spans="1:9" ht="31.5" x14ac:dyDescent="0.25">
      <c r="A39" s="78" t="s">
        <v>223</v>
      </c>
      <c r="B39" s="79" t="s">
        <v>66</v>
      </c>
      <c r="C39" s="35">
        <v>3</v>
      </c>
      <c r="D39" s="79" t="s">
        <v>68</v>
      </c>
      <c r="E39" s="79">
        <v>29520</v>
      </c>
      <c r="F39" s="62">
        <v>240</v>
      </c>
      <c r="G39" s="34">
        <v>3</v>
      </c>
      <c r="H39" s="34">
        <v>10</v>
      </c>
      <c r="I39" s="80">
        <f>'Прил 6'!J164</f>
        <v>352678.6</v>
      </c>
    </row>
    <row r="40" spans="1:9" x14ac:dyDescent="0.25">
      <c r="A40" s="78" t="s">
        <v>348</v>
      </c>
      <c r="B40" s="79" t="s">
        <v>66</v>
      </c>
      <c r="C40" s="35">
        <v>4</v>
      </c>
      <c r="D40" s="79" t="s">
        <v>68</v>
      </c>
      <c r="E40" s="79" t="s">
        <v>69</v>
      </c>
      <c r="F40" s="62"/>
      <c r="G40" s="34"/>
      <c r="H40" s="34"/>
      <c r="I40" s="80">
        <f>I41</f>
        <v>271500</v>
      </c>
    </row>
    <row r="41" spans="1:9" x14ac:dyDescent="0.25">
      <c r="A41" s="78" t="s">
        <v>228</v>
      </c>
      <c r="B41" s="79" t="s">
        <v>66</v>
      </c>
      <c r="C41" s="35">
        <v>4</v>
      </c>
      <c r="D41" s="79" t="s">
        <v>68</v>
      </c>
      <c r="E41" s="79">
        <v>29530</v>
      </c>
      <c r="F41" s="62">
        <v>240</v>
      </c>
      <c r="G41" s="34">
        <v>3</v>
      </c>
      <c r="H41" s="34">
        <v>10</v>
      </c>
      <c r="I41" s="80">
        <f>'Прил 6'!J167</f>
        <v>271500</v>
      </c>
    </row>
    <row r="42" spans="1:9" ht="47.25" x14ac:dyDescent="0.25">
      <c r="A42" s="78" t="s">
        <v>230</v>
      </c>
      <c r="B42" s="79" t="s">
        <v>72</v>
      </c>
      <c r="C42" s="35" t="s">
        <v>67</v>
      </c>
      <c r="D42" s="79" t="s">
        <v>68</v>
      </c>
      <c r="E42" s="79" t="s">
        <v>69</v>
      </c>
      <c r="F42" s="62" t="s">
        <v>333</v>
      </c>
      <c r="G42" s="34" t="s">
        <v>333</v>
      </c>
      <c r="H42" s="34" t="s">
        <v>333</v>
      </c>
      <c r="I42" s="80">
        <f>I43+I53+I57+I67</f>
        <v>132564482.28000002</v>
      </c>
    </row>
    <row r="43" spans="1:9" ht="47.25" x14ac:dyDescent="0.25">
      <c r="A43" s="78" t="s">
        <v>349</v>
      </c>
      <c r="B43" s="79" t="s">
        <v>72</v>
      </c>
      <c r="C43" s="35" t="s">
        <v>70</v>
      </c>
      <c r="D43" s="79" t="s">
        <v>68</v>
      </c>
      <c r="E43" s="79" t="s">
        <v>69</v>
      </c>
      <c r="F43" s="62" t="s">
        <v>333</v>
      </c>
      <c r="G43" s="34" t="s">
        <v>333</v>
      </c>
      <c r="H43" s="34" t="s">
        <v>333</v>
      </c>
      <c r="I43" s="80">
        <f>SUM(I44:I52)</f>
        <v>57358793.88000001</v>
      </c>
    </row>
    <row r="44" spans="1:9" x14ac:dyDescent="0.25">
      <c r="A44" s="78" t="s">
        <v>232</v>
      </c>
      <c r="B44" s="79" t="s">
        <v>72</v>
      </c>
      <c r="C44" s="35">
        <v>1</v>
      </c>
      <c r="D44" s="79" t="s">
        <v>68</v>
      </c>
      <c r="E44" s="79">
        <v>29100</v>
      </c>
      <c r="F44" s="62">
        <v>240</v>
      </c>
      <c r="G44" s="34">
        <v>4</v>
      </c>
      <c r="H44" s="34">
        <v>9</v>
      </c>
      <c r="I44" s="80">
        <f>'Прил 6'!J179</f>
        <v>42619358.420000009</v>
      </c>
    </row>
    <row r="45" spans="1:9" hidden="1" x14ac:dyDescent="0.25">
      <c r="A45" s="78" t="s">
        <v>232</v>
      </c>
      <c r="B45" s="79" t="s">
        <v>72</v>
      </c>
      <c r="C45" s="35">
        <v>1</v>
      </c>
      <c r="D45" s="79" t="s">
        <v>68</v>
      </c>
      <c r="E45" s="79">
        <v>29100</v>
      </c>
      <c r="F45" s="62">
        <v>410</v>
      </c>
      <c r="G45" s="34">
        <v>4</v>
      </c>
      <c r="H45" s="34">
        <v>9</v>
      </c>
      <c r="I45" s="80">
        <f>'Прил 6'!J180</f>
        <v>0</v>
      </c>
    </row>
    <row r="46" spans="1:9" hidden="1" x14ac:dyDescent="0.25">
      <c r="A46" s="78" t="s">
        <v>234</v>
      </c>
      <c r="B46" s="79" t="s">
        <v>72</v>
      </c>
      <c r="C46" s="35">
        <v>1</v>
      </c>
      <c r="D46" s="79" t="s">
        <v>68</v>
      </c>
      <c r="E46" s="79">
        <v>29110</v>
      </c>
      <c r="F46" s="62">
        <v>240</v>
      </c>
      <c r="G46" s="34">
        <v>4</v>
      </c>
      <c r="H46" s="34">
        <v>9</v>
      </c>
      <c r="I46" s="80">
        <f>'Прил 6'!J182</f>
        <v>0</v>
      </c>
    </row>
    <row r="47" spans="1:9" hidden="1" x14ac:dyDescent="0.25">
      <c r="A47" s="78" t="s">
        <v>236</v>
      </c>
      <c r="B47" s="79" t="s">
        <v>72</v>
      </c>
      <c r="C47" s="35">
        <v>1</v>
      </c>
      <c r="D47" s="79" t="s">
        <v>68</v>
      </c>
      <c r="E47" s="79">
        <v>29120</v>
      </c>
      <c r="F47" s="62">
        <v>410</v>
      </c>
      <c r="G47" s="34">
        <v>4</v>
      </c>
      <c r="H47" s="34">
        <v>9</v>
      </c>
      <c r="I47" s="80">
        <f>'Прил 6'!J184</f>
        <v>0</v>
      </c>
    </row>
    <row r="48" spans="1:9" ht="31.5" hidden="1" x14ac:dyDescent="0.25">
      <c r="A48" s="78" t="s">
        <v>238</v>
      </c>
      <c r="B48" s="79" t="s">
        <v>72</v>
      </c>
      <c r="C48" s="35">
        <v>1</v>
      </c>
      <c r="D48" s="79" t="s">
        <v>68</v>
      </c>
      <c r="E48" s="79">
        <v>29130</v>
      </c>
      <c r="F48" s="62">
        <v>240</v>
      </c>
      <c r="G48" s="34">
        <v>4</v>
      </c>
      <c r="H48" s="34">
        <v>9</v>
      </c>
      <c r="I48" s="80">
        <f>'Прил 6'!J186</f>
        <v>0</v>
      </c>
    </row>
    <row r="49" spans="1:9" hidden="1" x14ac:dyDescent="0.25">
      <c r="A49" s="78" t="s">
        <v>410</v>
      </c>
      <c r="B49" s="79" t="s">
        <v>72</v>
      </c>
      <c r="C49" s="35">
        <v>1</v>
      </c>
      <c r="D49" s="79" t="s">
        <v>68</v>
      </c>
      <c r="E49" s="79" t="s">
        <v>411</v>
      </c>
      <c r="F49" s="62">
        <v>240</v>
      </c>
      <c r="G49" s="34">
        <v>4</v>
      </c>
      <c r="H49" s="34">
        <v>9</v>
      </c>
      <c r="I49" s="80">
        <f>'Прил 6'!J188</f>
        <v>0</v>
      </c>
    </row>
    <row r="50" spans="1:9" x14ac:dyDescent="0.25">
      <c r="A50" s="78" t="s">
        <v>240</v>
      </c>
      <c r="B50" s="79" t="s">
        <v>72</v>
      </c>
      <c r="C50" s="35">
        <v>1</v>
      </c>
      <c r="D50" s="79" t="s">
        <v>68</v>
      </c>
      <c r="E50" s="79">
        <v>29330</v>
      </c>
      <c r="F50" s="62">
        <v>240</v>
      </c>
      <c r="G50" s="34">
        <v>4</v>
      </c>
      <c r="H50" s="34">
        <v>9</v>
      </c>
      <c r="I50" s="80">
        <f>'Прил 6'!J190</f>
        <v>7450443.7300000004</v>
      </c>
    </row>
    <row r="51" spans="1:9" hidden="1" x14ac:dyDescent="0.25">
      <c r="A51" s="36" t="s">
        <v>242</v>
      </c>
      <c r="B51" s="79" t="s">
        <v>72</v>
      </c>
      <c r="C51" s="35">
        <v>1</v>
      </c>
      <c r="D51" s="79" t="s">
        <v>68</v>
      </c>
      <c r="E51" s="79" t="s">
        <v>243</v>
      </c>
      <c r="F51" s="62">
        <v>410</v>
      </c>
      <c r="G51" s="34">
        <v>4</v>
      </c>
      <c r="H51" s="34">
        <v>9</v>
      </c>
      <c r="I51" s="80">
        <f>'Прил 6'!J192</f>
        <v>0</v>
      </c>
    </row>
    <row r="52" spans="1:9" x14ac:dyDescent="0.25">
      <c r="A52" s="78" t="s">
        <v>244</v>
      </c>
      <c r="B52" s="79" t="s">
        <v>72</v>
      </c>
      <c r="C52" s="35">
        <v>1</v>
      </c>
      <c r="D52" s="79" t="s">
        <v>68</v>
      </c>
      <c r="E52" s="79">
        <v>29590</v>
      </c>
      <c r="F52" s="62">
        <v>240</v>
      </c>
      <c r="G52" s="34">
        <v>4</v>
      </c>
      <c r="H52" s="34">
        <v>9</v>
      </c>
      <c r="I52" s="80">
        <f>'Прил 6'!J194</f>
        <v>7288991.7300000004</v>
      </c>
    </row>
    <row r="53" spans="1:9" ht="31.5" x14ac:dyDescent="0.25">
      <c r="A53" s="78" t="s">
        <v>350</v>
      </c>
      <c r="B53" s="79" t="s">
        <v>72</v>
      </c>
      <c r="C53" s="35">
        <v>2</v>
      </c>
      <c r="D53" s="79" t="s">
        <v>68</v>
      </c>
      <c r="E53" s="79" t="s">
        <v>69</v>
      </c>
      <c r="F53" s="62"/>
      <c r="G53" s="34"/>
      <c r="H53" s="34"/>
      <c r="I53" s="80">
        <f>SUM(I54:I56)</f>
        <v>10638304.280000001</v>
      </c>
    </row>
    <row r="54" spans="1:9" x14ac:dyDescent="0.25">
      <c r="A54" s="36" t="s">
        <v>262</v>
      </c>
      <c r="B54" s="79" t="s">
        <v>72</v>
      </c>
      <c r="C54" s="35">
        <v>2</v>
      </c>
      <c r="D54" s="79" t="s">
        <v>68</v>
      </c>
      <c r="E54" s="79" t="s">
        <v>255</v>
      </c>
      <c r="F54" s="62">
        <v>410</v>
      </c>
      <c r="G54" s="34">
        <v>5</v>
      </c>
      <c r="H54" s="34">
        <v>3</v>
      </c>
      <c r="I54" s="80">
        <f>'Прил 6'!J221</f>
        <v>720000</v>
      </c>
    </row>
    <row r="55" spans="1:9" x14ac:dyDescent="0.25">
      <c r="A55" s="78" t="s">
        <v>263</v>
      </c>
      <c r="B55" s="79" t="s">
        <v>72</v>
      </c>
      <c r="C55" s="79" t="s">
        <v>73</v>
      </c>
      <c r="D55" s="79" t="s">
        <v>68</v>
      </c>
      <c r="E55" s="79" t="s">
        <v>264</v>
      </c>
      <c r="F55" s="79" t="s">
        <v>76</v>
      </c>
      <c r="G55" s="79" t="s">
        <v>84</v>
      </c>
      <c r="H55" s="79" t="s">
        <v>72</v>
      </c>
      <c r="I55" s="80">
        <f>'Прил 6'!J223</f>
        <v>7318304.2800000003</v>
      </c>
    </row>
    <row r="56" spans="1:9" x14ac:dyDescent="0.25">
      <c r="A56" s="78" t="s">
        <v>265</v>
      </c>
      <c r="B56" s="79" t="s">
        <v>72</v>
      </c>
      <c r="C56" s="79" t="s">
        <v>73</v>
      </c>
      <c r="D56" s="79" t="s">
        <v>68</v>
      </c>
      <c r="E56" s="79" t="s">
        <v>266</v>
      </c>
      <c r="F56" s="79" t="s">
        <v>76</v>
      </c>
      <c r="G56" s="79" t="s">
        <v>84</v>
      </c>
      <c r="H56" s="79" t="s">
        <v>72</v>
      </c>
      <c r="I56" s="80">
        <f>'Прил 6'!J225</f>
        <v>2600000</v>
      </c>
    </row>
    <row r="57" spans="1:9" ht="31.5" x14ac:dyDescent="0.25">
      <c r="A57" s="78" t="s">
        <v>351</v>
      </c>
      <c r="B57" s="79" t="s">
        <v>72</v>
      </c>
      <c r="C57" s="35">
        <v>3</v>
      </c>
      <c r="D57" s="79" t="s">
        <v>68</v>
      </c>
      <c r="E57" s="79" t="s">
        <v>69</v>
      </c>
      <c r="F57" s="62"/>
      <c r="G57" s="34"/>
      <c r="H57" s="34"/>
      <c r="I57" s="80">
        <f>SUM(I58:I66)</f>
        <v>39358287.730000004</v>
      </c>
    </row>
    <row r="58" spans="1:9" ht="31.5" x14ac:dyDescent="0.25">
      <c r="A58" s="78" t="s">
        <v>447</v>
      </c>
      <c r="B58" s="79" t="s">
        <v>72</v>
      </c>
      <c r="C58" s="35">
        <v>3</v>
      </c>
      <c r="D58" s="79" t="s">
        <v>68</v>
      </c>
      <c r="E58" s="79" t="s">
        <v>446</v>
      </c>
      <c r="F58" s="62">
        <v>240</v>
      </c>
      <c r="G58" s="34">
        <v>5</v>
      </c>
      <c r="H58" s="34">
        <v>3</v>
      </c>
      <c r="I58" s="80">
        <f>'Прил 6'!J228</f>
        <v>2107912.62</v>
      </c>
    </row>
    <row r="59" spans="1:9" x14ac:dyDescent="0.25">
      <c r="A59" s="78" t="s">
        <v>268</v>
      </c>
      <c r="B59" s="79" t="s">
        <v>72</v>
      </c>
      <c r="C59" s="79" t="s">
        <v>74</v>
      </c>
      <c r="D59" s="79" t="s">
        <v>68</v>
      </c>
      <c r="E59" s="79" t="s">
        <v>269</v>
      </c>
      <c r="F59" s="79" t="s">
        <v>76</v>
      </c>
      <c r="G59" s="79" t="s">
        <v>84</v>
      </c>
      <c r="H59" s="79" t="s">
        <v>72</v>
      </c>
      <c r="I59" s="80">
        <f>'Прил 6'!J230</f>
        <v>790000</v>
      </c>
    </row>
    <row r="60" spans="1:9" x14ac:dyDescent="0.25">
      <c r="A60" s="78" t="s">
        <v>270</v>
      </c>
      <c r="B60" s="79" t="s">
        <v>72</v>
      </c>
      <c r="C60" s="79" t="s">
        <v>74</v>
      </c>
      <c r="D60" s="79" t="s">
        <v>68</v>
      </c>
      <c r="E60" s="79" t="s">
        <v>271</v>
      </c>
      <c r="F60" s="79" t="s">
        <v>76</v>
      </c>
      <c r="G60" s="79" t="s">
        <v>84</v>
      </c>
      <c r="H60" s="79" t="s">
        <v>72</v>
      </c>
      <c r="I60" s="80">
        <f>'Прил 6'!J232</f>
        <v>1524541.22</v>
      </c>
    </row>
    <row r="61" spans="1:9" x14ac:dyDescent="0.25">
      <c r="A61" s="78" t="s">
        <v>272</v>
      </c>
      <c r="B61" s="79" t="s">
        <v>72</v>
      </c>
      <c r="C61" s="79" t="s">
        <v>74</v>
      </c>
      <c r="D61" s="79" t="s">
        <v>68</v>
      </c>
      <c r="E61" s="79" t="s">
        <v>352</v>
      </c>
      <c r="F61" s="79" t="s">
        <v>76</v>
      </c>
      <c r="G61" s="79" t="s">
        <v>84</v>
      </c>
      <c r="H61" s="79" t="s">
        <v>72</v>
      </c>
      <c r="I61" s="80">
        <f>'Прил 6'!J234</f>
        <v>1528409.6</v>
      </c>
    </row>
    <row r="62" spans="1:9" x14ac:dyDescent="0.25">
      <c r="A62" s="78" t="s">
        <v>273</v>
      </c>
      <c r="B62" s="79" t="s">
        <v>72</v>
      </c>
      <c r="C62" s="79" t="s">
        <v>74</v>
      </c>
      <c r="D62" s="79" t="s">
        <v>68</v>
      </c>
      <c r="E62" s="79" t="s">
        <v>274</v>
      </c>
      <c r="F62" s="79" t="s">
        <v>76</v>
      </c>
      <c r="G62" s="79" t="s">
        <v>84</v>
      </c>
      <c r="H62" s="79" t="s">
        <v>72</v>
      </c>
      <c r="I62" s="80">
        <f>'Прил 6'!J236</f>
        <v>20605245.620000001</v>
      </c>
    </row>
    <row r="63" spans="1:9" x14ac:dyDescent="0.25">
      <c r="A63" s="78" t="s">
        <v>275</v>
      </c>
      <c r="B63" s="79" t="s">
        <v>72</v>
      </c>
      <c r="C63" s="79" t="s">
        <v>74</v>
      </c>
      <c r="D63" s="79" t="s">
        <v>68</v>
      </c>
      <c r="E63" s="79" t="s">
        <v>353</v>
      </c>
      <c r="F63" s="79" t="s">
        <v>76</v>
      </c>
      <c r="G63" s="79" t="s">
        <v>84</v>
      </c>
      <c r="H63" s="79" t="s">
        <v>72</v>
      </c>
      <c r="I63" s="80">
        <f>'Прил 6'!J238</f>
        <v>3931209.19</v>
      </c>
    </row>
    <row r="64" spans="1:9" x14ac:dyDescent="0.25">
      <c r="A64" s="78" t="s">
        <v>276</v>
      </c>
      <c r="B64" s="79" t="s">
        <v>72</v>
      </c>
      <c r="C64" s="79" t="s">
        <v>74</v>
      </c>
      <c r="D64" s="79" t="s">
        <v>68</v>
      </c>
      <c r="E64" s="79" t="s">
        <v>277</v>
      </c>
      <c r="F64" s="79" t="s">
        <v>76</v>
      </c>
      <c r="G64" s="79" t="s">
        <v>84</v>
      </c>
      <c r="H64" s="79" t="s">
        <v>72</v>
      </c>
      <c r="I64" s="80">
        <f>'Прил 6'!J240</f>
        <v>7470969.4800000004</v>
      </c>
    </row>
    <row r="65" spans="1:9" x14ac:dyDescent="0.25">
      <c r="A65" s="78" t="s">
        <v>278</v>
      </c>
      <c r="B65" s="79" t="s">
        <v>72</v>
      </c>
      <c r="C65" s="79" t="s">
        <v>74</v>
      </c>
      <c r="D65" s="79" t="s">
        <v>68</v>
      </c>
      <c r="E65" s="79" t="s">
        <v>279</v>
      </c>
      <c r="F65" s="79" t="s">
        <v>76</v>
      </c>
      <c r="G65" s="79" t="s">
        <v>84</v>
      </c>
      <c r="H65" s="79" t="s">
        <v>72</v>
      </c>
      <c r="I65" s="80">
        <f>'Прил 6'!J242</f>
        <v>400000</v>
      </c>
    </row>
    <row r="66" spans="1:9" x14ac:dyDescent="0.25">
      <c r="A66" s="78" t="s">
        <v>280</v>
      </c>
      <c r="B66" s="79" t="s">
        <v>72</v>
      </c>
      <c r="C66" s="79" t="s">
        <v>74</v>
      </c>
      <c r="D66" s="79" t="s">
        <v>68</v>
      </c>
      <c r="E66" s="79" t="s">
        <v>281</v>
      </c>
      <c r="F66" s="79" t="s">
        <v>76</v>
      </c>
      <c r="G66" s="79" t="s">
        <v>84</v>
      </c>
      <c r="H66" s="79" t="s">
        <v>72</v>
      </c>
      <c r="I66" s="80">
        <f>'Прил 6'!J244</f>
        <v>1000000</v>
      </c>
    </row>
    <row r="67" spans="1:9" x14ac:dyDescent="0.25">
      <c r="A67" s="78" t="s">
        <v>354</v>
      </c>
      <c r="B67" s="79" t="s">
        <v>72</v>
      </c>
      <c r="C67" s="35">
        <v>4</v>
      </c>
      <c r="D67" s="79" t="s">
        <v>68</v>
      </c>
      <c r="E67" s="79" t="s">
        <v>69</v>
      </c>
      <c r="F67" s="62"/>
      <c r="G67" s="34"/>
      <c r="H67" s="34"/>
      <c r="I67" s="80">
        <f>SUM(I68:I70)</f>
        <v>25209096.390000001</v>
      </c>
    </row>
    <row r="68" spans="1:9" ht="31.5" x14ac:dyDescent="0.25">
      <c r="A68" s="78" t="s">
        <v>291</v>
      </c>
      <c r="B68" s="79" t="s">
        <v>72</v>
      </c>
      <c r="C68" s="79" t="s">
        <v>79</v>
      </c>
      <c r="D68" s="79" t="s">
        <v>68</v>
      </c>
      <c r="E68" s="79" t="s">
        <v>292</v>
      </c>
      <c r="F68" s="79" t="s">
        <v>100</v>
      </c>
      <c r="G68" s="79" t="s">
        <v>84</v>
      </c>
      <c r="H68" s="79" t="s">
        <v>84</v>
      </c>
      <c r="I68" s="80">
        <f>'Прил 6'!J264</f>
        <v>15554155.99</v>
      </c>
    </row>
    <row r="69" spans="1:9" ht="31.5" x14ac:dyDescent="0.25">
      <c r="A69" s="78" t="s">
        <v>291</v>
      </c>
      <c r="B69" s="79" t="s">
        <v>72</v>
      </c>
      <c r="C69" s="79" t="s">
        <v>79</v>
      </c>
      <c r="D69" s="79" t="s">
        <v>68</v>
      </c>
      <c r="E69" s="79" t="s">
        <v>292</v>
      </c>
      <c r="F69" s="79" t="s">
        <v>76</v>
      </c>
      <c r="G69" s="79" t="s">
        <v>84</v>
      </c>
      <c r="H69" s="79" t="s">
        <v>84</v>
      </c>
      <c r="I69" s="80">
        <f>'Прил 6'!J265</f>
        <v>9604940.4000000004</v>
      </c>
    </row>
    <row r="70" spans="1:9" ht="31.5" x14ac:dyDescent="0.25">
      <c r="A70" s="78" t="s">
        <v>291</v>
      </c>
      <c r="B70" s="79" t="s">
        <v>72</v>
      </c>
      <c r="C70" s="79" t="s">
        <v>79</v>
      </c>
      <c r="D70" s="79" t="s">
        <v>68</v>
      </c>
      <c r="E70" s="79" t="s">
        <v>292</v>
      </c>
      <c r="F70" s="79" t="s">
        <v>78</v>
      </c>
      <c r="G70" s="79" t="s">
        <v>84</v>
      </c>
      <c r="H70" s="79" t="s">
        <v>84</v>
      </c>
      <c r="I70" s="80">
        <f>'Прил 6'!J266</f>
        <v>50000</v>
      </c>
    </row>
    <row r="71" spans="1:9" ht="47.25" x14ac:dyDescent="0.25">
      <c r="A71" s="78" t="s">
        <v>247</v>
      </c>
      <c r="B71" s="79" t="s">
        <v>83</v>
      </c>
      <c r="C71" s="35" t="s">
        <v>67</v>
      </c>
      <c r="D71" s="79" t="s">
        <v>68</v>
      </c>
      <c r="E71" s="79" t="s">
        <v>69</v>
      </c>
      <c r="F71" s="62" t="s">
        <v>333</v>
      </c>
      <c r="G71" s="34" t="s">
        <v>333</v>
      </c>
      <c r="H71" s="34" t="s">
        <v>333</v>
      </c>
      <c r="I71" s="80">
        <f>SUM(I72:I72)</f>
        <v>30000</v>
      </c>
    </row>
    <row r="72" spans="1:9" x14ac:dyDescent="0.25">
      <c r="A72" s="78" t="s">
        <v>249</v>
      </c>
      <c r="B72" s="79" t="s">
        <v>83</v>
      </c>
      <c r="C72" s="35">
        <v>0</v>
      </c>
      <c r="D72" s="79" t="s">
        <v>68</v>
      </c>
      <c r="E72" s="79">
        <v>29910</v>
      </c>
      <c r="F72" s="62">
        <v>810</v>
      </c>
      <c r="G72" s="34">
        <v>4</v>
      </c>
      <c r="H72" s="34">
        <v>12</v>
      </c>
      <c r="I72" s="80">
        <f>'Прил 6'!J203</f>
        <v>30000</v>
      </c>
    </row>
    <row r="73" spans="1:9" ht="47.25" x14ac:dyDescent="0.25">
      <c r="A73" s="78" t="s">
        <v>251</v>
      </c>
      <c r="B73" s="79" t="s">
        <v>84</v>
      </c>
      <c r="C73" s="35" t="s">
        <v>67</v>
      </c>
      <c r="D73" s="79" t="s">
        <v>68</v>
      </c>
      <c r="E73" s="79" t="s">
        <v>69</v>
      </c>
      <c r="F73" s="62" t="s">
        <v>333</v>
      </c>
      <c r="G73" s="34" t="s">
        <v>333</v>
      </c>
      <c r="H73" s="34" t="s">
        <v>333</v>
      </c>
      <c r="I73" s="80">
        <f>I74+I76</f>
        <v>19675200</v>
      </c>
    </row>
    <row r="74" spans="1:9" ht="31.5" x14ac:dyDescent="0.25">
      <c r="A74" s="78" t="s">
        <v>355</v>
      </c>
      <c r="B74" s="79" t="s">
        <v>84</v>
      </c>
      <c r="C74" s="35" t="s">
        <v>70</v>
      </c>
      <c r="D74" s="79" t="s">
        <v>68</v>
      </c>
      <c r="E74" s="79" t="s">
        <v>69</v>
      </c>
      <c r="F74" s="62" t="s">
        <v>333</v>
      </c>
      <c r="G74" s="34" t="s">
        <v>333</v>
      </c>
      <c r="H74" s="34" t="s">
        <v>333</v>
      </c>
      <c r="I74" s="80">
        <f>I75</f>
        <v>50000</v>
      </c>
    </row>
    <row r="75" spans="1:9" x14ac:dyDescent="0.25">
      <c r="A75" s="78" t="s">
        <v>253</v>
      </c>
      <c r="B75" s="79" t="s">
        <v>84</v>
      </c>
      <c r="C75" s="35">
        <v>1</v>
      </c>
      <c r="D75" s="79" t="s">
        <v>68</v>
      </c>
      <c r="E75" s="79">
        <v>29420</v>
      </c>
      <c r="F75" s="62">
        <v>240</v>
      </c>
      <c r="G75" s="34">
        <v>5</v>
      </c>
      <c r="H75" s="34">
        <v>1</v>
      </c>
      <c r="I75" s="80">
        <f>'Прил 6'!J209</f>
        <v>50000</v>
      </c>
    </row>
    <row r="76" spans="1:9" ht="47.25" x14ac:dyDescent="0.25">
      <c r="A76" s="78" t="s">
        <v>356</v>
      </c>
      <c r="B76" s="79" t="s">
        <v>84</v>
      </c>
      <c r="C76" s="35">
        <v>6</v>
      </c>
      <c r="D76" s="79" t="s">
        <v>68</v>
      </c>
      <c r="E76" s="79" t="s">
        <v>69</v>
      </c>
      <c r="F76" s="62"/>
      <c r="G76" s="34"/>
      <c r="H76" s="34"/>
      <c r="I76" s="80">
        <f>I77</f>
        <v>19625200</v>
      </c>
    </row>
    <row r="77" spans="1:9" x14ac:dyDescent="0.25">
      <c r="A77" s="78" t="s">
        <v>257</v>
      </c>
      <c r="B77" s="79" t="s">
        <v>84</v>
      </c>
      <c r="C77" s="35">
        <v>6</v>
      </c>
      <c r="D77" s="79" t="s">
        <v>68</v>
      </c>
      <c r="E77" s="79">
        <v>29800</v>
      </c>
      <c r="F77" s="62">
        <v>410</v>
      </c>
      <c r="G77" s="34">
        <v>5</v>
      </c>
      <c r="H77" s="34">
        <v>1</v>
      </c>
      <c r="I77" s="80">
        <f>'Прил 6'!J212</f>
        <v>19625200</v>
      </c>
    </row>
    <row r="78" spans="1:9" ht="47.25" x14ac:dyDescent="0.25">
      <c r="A78" s="78" t="s">
        <v>299</v>
      </c>
      <c r="B78" s="79" t="s">
        <v>86</v>
      </c>
      <c r="C78" s="35" t="s">
        <v>67</v>
      </c>
      <c r="D78" s="79" t="s">
        <v>68</v>
      </c>
      <c r="E78" s="79" t="s">
        <v>69</v>
      </c>
      <c r="F78" s="62" t="s">
        <v>333</v>
      </c>
      <c r="G78" s="34" t="s">
        <v>333</v>
      </c>
      <c r="H78" s="34" t="s">
        <v>333</v>
      </c>
      <c r="I78" s="80">
        <f>I79+I82+I85+I89+I94</f>
        <v>33007480.920000002</v>
      </c>
    </row>
    <row r="79" spans="1:9" x14ac:dyDescent="0.25">
      <c r="A79" s="78" t="s">
        <v>357</v>
      </c>
      <c r="B79" s="79" t="s">
        <v>86</v>
      </c>
      <c r="C79" s="35" t="s">
        <v>70</v>
      </c>
      <c r="D79" s="79" t="s">
        <v>68</v>
      </c>
      <c r="E79" s="79" t="s">
        <v>69</v>
      </c>
      <c r="F79" s="62" t="s">
        <v>333</v>
      </c>
      <c r="G79" s="34" t="s">
        <v>333</v>
      </c>
      <c r="H79" s="34" t="s">
        <v>333</v>
      </c>
      <c r="I79" s="80">
        <f>SUM(I80:I81)</f>
        <v>3131900</v>
      </c>
    </row>
    <row r="80" spans="1:9" x14ac:dyDescent="0.25">
      <c r="A80" s="78" t="s">
        <v>300</v>
      </c>
      <c r="B80" s="79" t="s">
        <v>86</v>
      </c>
      <c r="C80" s="35">
        <v>1</v>
      </c>
      <c r="D80" s="79" t="s">
        <v>68</v>
      </c>
      <c r="E80" s="79">
        <v>29240</v>
      </c>
      <c r="F80" s="62">
        <v>110</v>
      </c>
      <c r="G80" s="34">
        <v>7</v>
      </c>
      <c r="H80" s="34">
        <v>7</v>
      </c>
      <c r="I80" s="80">
        <f>'Прил 6'!J284</f>
        <v>151100</v>
      </c>
    </row>
    <row r="81" spans="1:9" ht="31.5" x14ac:dyDescent="0.25">
      <c r="A81" s="78" t="s">
        <v>302</v>
      </c>
      <c r="B81" s="79" t="s">
        <v>86</v>
      </c>
      <c r="C81" s="35">
        <v>1</v>
      </c>
      <c r="D81" s="79" t="s">
        <v>68</v>
      </c>
      <c r="E81" s="79" t="s">
        <v>303</v>
      </c>
      <c r="F81" s="62">
        <v>520</v>
      </c>
      <c r="G81" s="34">
        <v>7</v>
      </c>
      <c r="H81" s="34">
        <v>7</v>
      </c>
      <c r="I81" s="80">
        <f>'Прил 6'!J286</f>
        <v>2980800</v>
      </c>
    </row>
    <row r="82" spans="1:9" x14ac:dyDescent="0.25">
      <c r="A82" s="78" t="s">
        <v>444</v>
      </c>
      <c r="B82" s="79" t="s">
        <v>86</v>
      </c>
      <c r="C82" s="35">
        <v>2</v>
      </c>
      <c r="D82" s="79" t="s">
        <v>68</v>
      </c>
      <c r="E82" s="79" t="s">
        <v>69</v>
      </c>
      <c r="F82" s="62" t="s">
        <v>333</v>
      </c>
      <c r="G82" s="34" t="s">
        <v>333</v>
      </c>
      <c r="H82" s="34" t="s">
        <v>333</v>
      </c>
      <c r="I82" s="80">
        <f>SUM(I83:I84)</f>
        <v>8980534.8200000003</v>
      </c>
    </row>
    <row r="83" spans="1:9" ht="31.5" x14ac:dyDescent="0.25">
      <c r="A83" s="78" t="s">
        <v>291</v>
      </c>
      <c r="B83" s="79" t="s">
        <v>86</v>
      </c>
      <c r="C83" s="35">
        <v>2</v>
      </c>
      <c r="D83" s="79" t="s">
        <v>68</v>
      </c>
      <c r="E83" s="79" t="s">
        <v>292</v>
      </c>
      <c r="F83" s="62">
        <v>620</v>
      </c>
      <c r="G83" s="34">
        <v>8</v>
      </c>
      <c r="H83" s="34">
        <v>1</v>
      </c>
      <c r="I83" s="80">
        <f>'Прил 6'!J292</f>
        <v>8767784.4299999997</v>
      </c>
    </row>
    <row r="84" spans="1:9" ht="31.5" x14ac:dyDescent="0.25">
      <c r="A84" s="78" t="s">
        <v>447</v>
      </c>
      <c r="B84" s="79" t="s">
        <v>86</v>
      </c>
      <c r="C84" s="35">
        <v>2</v>
      </c>
      <c r="D84" s="79" t="s">
        <v>68</v>
      </c>
      <c r="E84" s="79" t="s">
        <v>446</v>
      </c>
      <c r="F84" s="62">
        <v>240</v>
      </c>
      <c r="G84" s="34">
        <v>8</v>
      </c>
      <c r="H84" s="34">
        <v>1</v>
      </c>
      <c r="I84" s="80">
        <f>'Прил 6'!J293</f>
        <v>212750.39</v>
      </c>
    </row>
    <row r="85" spans="1:9" x14ac:dyDescent="0.25">
      <c r="A85" s="78" t="s">
        <v>358</v>
      </c>
      <c r="B85" s="79" t="s">
        <v>86</v>
      </c>
      <c r="C85" s="35">
        <v>3</v>
      </c>
      <c r="D85" s="79" t="s">
        <v>68</v>
      </c>
      <c r="E85" s="79" t="s">
        <v>69</v>
      </c>
      <c r="F85" s="62" t="s">
        <v>333</v>
      </c>
      <c r="G85" s="34" t="s">
        <v>333</v>
      </c>
      <c r="H85" s="34" t="s">
        <v>333</v>
      </c>
      <c r="I85" s="80">
        <f>SUM(I86:I88)</f>
        <v>779561.54</v>
      </c>
    </row>
    <row r="86" spans="1:9" x14ac:dyDescent="0.25">
      <c r="A86" s="78" t="s">
        <v>91</v>
      </c>
      <c r="B86" s="79" t="s">
        <v>86</v>
      </c>
      <c r="C86" s="35">
        <v>3</v>
      </c>
      <c r="D86" s="79" t="s">
        <v>68</v>
      </c>
      <c r="E86" s="79">
        <v>29020</v>
      </c>
      <c r="F86" s="62">
        <v>350</v>
      </c>
      <c r="G86" s="34">
        <v>8</v>
      </c>
      <c r="H86" s="34">
        <v>4</v>
      </c>
      <c r="I86" s="80">
        <f>'Прил 6'!J322</f>
        <v>100000</v>
      </c>
    </row>
    <row r="87" spans="1:9" x14ac:dyDescent="0.25">
      <c r="A87" s="78" t="s">
        <v>312</v>
      </c>
      <c r="B87" s="79" t="s">
        <v>86</v>
      </c>
      <c r="C87" s="35">
        <v>3</v>
      </c>
      <c r="D87" s="79" t="s">
        <v>68</v>
      </c>
      <c r="E87" s="79">
        <v>29250</v>
      </c>
      <c r="F87" s="62">
        <v>240</v>
      </c>
      <c r="G87" s="34">
        <v>8</v>
      </c>
      <c r="H87" s="34">
        <v>4</v>
      </c>
      <c r="I87" s="80">
        <f>'Прил 6'!J324</f>
        <v>288657.53999999998</v>
      </c>
    </row>
    <row r="88" spans="1:9" x14ac:dyDescent="0.25">
      <c r="A88" s="78" t="s">
        <v>314</v>
      </c>
      <c r="B88" s="79" t="s">
        <v>86</v>
      </c>
      <c r="C88" s="35">
        <v>3</v>
      </c>
      <c r="D88" s="79" t="s">
        <v>68</v>
      </c>
      <c r="E88" s="79">
        <v>29260</v>
      </c>
      <c r="F88" s="62">
        <v>240</v>
      </c>
      <c r="G88" s="34">
        <v>8</v>
      </c>
      <c r="H88" s="34">
        <v>4</v>
      </c>
      <c r="I88" s="80">
        <f>'Прил 6'!J326</f>
        <v>390904</v>
      </c>
    </row>
    <row r="89" spans="1:9" ht="47.25" x14ac:dyDescent="0.25">
      <c r="A89" s="78" t="s">
        <v>359</v>
      </c>
      <c r="B89" s="79" t="s">
        <v>86</v>
      </c>
      <c r="C89" s="35">
        <v>4</v>
      </c>
      <c r="D89" s="79" t="s">
        <v>68</v>
      </c>
      <c r="E89" s="79" t="s">
        <v>69</v>
      </c>
      <c r="F89" s="62" t="s">
        <v>333</v>
      </c>
      <c r="G89" s="34" t="s">
        <v>333</v>
      </c>
      <c r="H89" s="34" t="s">
        <v>333</v>
      </c>
      <c r="I89" s="80">
        <f>SUM(I90:I93)</f>
        <v>3683796.83</v>
      </c>
    </row>
    <row r="90" spans="1:9" x14ac:dyDescent="0.25">
      <c r="A90" s="78" t="s">
        <v>324</v>
      </c>
      <c r="B90" s="79" t="s">
        <v>86</v>
      </c>
      <c r="C90" s="35">
        <v>4</v>
      </c>
      <c r="D90" s="79" t="s">
        <v>68</v>
      </c>
      <c r="E90" s="79">
        <v>29230</v>
      </c>
      <c r="F90" s="62">
        <v>240</v>
      </c>
      <c r="G90" s="34">
        <v>11</v>
      </c>
      <c r="H90" s="34">
        <v>5</v>
      </c>
      <c r="I90" s="80">
        <f>'Прил 6'!J342</f>
        <v>685000</v>
      </c>
    </row>
    <row r="91" spans="1:9" x14ac:dyDescent="0.25">
      <c r="A91" s="78" t="s">
        <v>515</v>
      </c>
      <c r="B91" s="79" t="s">
        <v>86</v>
      </c>
      <c r="C91" s="35">
        <v>4</v>
      </c>
      <c r="D91" s="79" t="s">
        <v>68</v>
      </c>
      <c r="E91" s="79">
        <v>29230</v>
      </c>
      <c r="F91" s="62">
        <v>240</v>
      </c>
      <c r="G91" s="34">
        <v>11</v>
      </c>
      <c r="H91" s="34">
        <v>5</v>
      </c>
      <c r="I91" s="80">
        <f>'Прил 6'!J344</f>
        <v>66840</v>
      </c>
    </row>
    <row r="92" spans="1:9" x14ac:dyDescent="0.25">
      <c r="A92" s="78" t="s">
        <v>273</v>
      </c>
      <c r="B92" s="79" t="s">
        <v>86</v>
      </c>
      <c r="C92" s="35">
        <v>4</v>
      </c>
      <c r="D92" s="79" t="s">
        <v>68</v>
      </c>
      <c r="E92" s="79">
        <v>29370</v>
      </c>
      <c r="F92" s="62">
        <v>240</v>
      </c>
      <c r="G92" s="34">
        <v>11</v>
      </c>
      <c r="H92" s="34">
        <v>5</v>
      </c>
      <c r="I92" s="80">
        <f>'Прил 6'!J346</f>
        <v>1432156.83</v>
      </c>
    </row>
    <row r="93" spans="1:9" x14ac:dyDescent="0.25">
      <c r="A93" s="78" t="s">
        <v>326</v>
      </c>
      <c r="B93" s="79" t="s">
        <v>86</v>
      </c>
      <c r="C93" s="35">
        <v>4</v>
      </c>
      <c r="D93" s="79" t="s">
        <v>68</v>
      </c>
      <c r="E93" s="79">
        <v>29570</v>
      </c>
      <c r="F93" s="62">
        <v>240</v>
      </c>
      <c r="G93" s="34">
        <v>11</v>
      </c>
      <c r="H93" s="34">
        <v>5</v>
      </c>
      <c r="I93" s="80">
        <f>'Прил 6'!J348</f>
        <v>1499800</v>
      </c>
    </row>
    <row r="94" spans="1:9" x14ac:dyDescent="0.25">
      <c r="A94" s="78" t="s">
        <v>360</v>
      </c>
      <c r="B94" s="79" t="s">
        <v>86</v>
      </c>
      <c r="C94" s="35">
        <v>5</v>
      </c>
      <c r="D94" s="79" t="s">
        <v>68</v>
      </c>
      <c r="E94" s="79" t="s">
        <v>69</v>
      </c>
      <c r="F94" s="62"/>
      <c r="G94" s="34"/>
      <c r="H94" s="34"/>
      <c r="I94" s="80">
        <f>SUM(I95:I96)</f>
        <v>16431687.73</v>
      </c>
    </row>
    <row r="95" spans="1:9" ht="31.5" x14ac:dyDescent="0.25">
      <c r="A95" s="78" t="s">
        <v>291</v>
      </c>
      <c r="B95" s="79" t="s">
        <v>86</v>
      </c>
      <c r="C95" s="35">
        <v>5</v>
      </c>
      <c r="D95" s="79" t="s">
        <v>68</v>
      </c>
      <c r="E95" s="79" t="s">
        <v>292</v>
      </c>
      <c r="F95" s="62">
        <v>620</v>
      </c>
      <c r="G95" s="34">
        <v>8</v>
      </c>
      <c r="H95" s="34">
        <v>1</v>
      </c>
      <c r="I95" s="80">
        <f>'Прил 6'!J297</f>
        <v>16431687.73</v>
      </c>
    </row>
    <row r="96" spans="1:9" ht="63" hidden="1" x14ac:dyDescent="0.25">
      <c r="A96" s="44" t="s">
        <v>427</v>
      </c>
      <c r="B96" s="79" t="s">
        <v>86</v>
      </c>
      <c r="C96" s="35">
        <v>5</v>
      </c>
      <c r="D96" s="79" t="s">
        <v>68</v>
      </c>
      <c r="E96" s="79" t="s">
        <v>306</v>
      </c>
      <c r="F96" s="62">
        <v>620</v>
      </c>
      <c r="G96" s="34">
        <v>8</v>
      </c>
      <c r="H96" s="34">
        <v>1</v>
      </c>
      <c r="I96" s="80">
        <f>'Прил 6'!J299</f>
        <v>0</v>
      </c>
    </row>
    <row r="97" spans="1:9" ht="47.25" x14ac:dyDescent="0.25">
      <c r="A97" s="78" t="s">
        <v>182</v>
      </c>
      <c r="B97" s="79" t="s">
        <v>88</v>
      </c>
      <c r="C97" s="35" t="s">
        <v>67</v>
      </c>
      <c r="D97" s="79" t="s">
        <v>68</v>
      </c>
      <c r="E97" s="79" t="s">
        <v>69</v>
      </c>
      <c r="F97" s="62" t="s">
        <v>333</v>
      </c>
      <c r="G97" s="34" t="s">
        <v>333</v>
      </c>
      <c r="H97" s="34" t="s">
        <v>333</v>
      </c>
      <c r="I97" s="80">
        <f>I98+I109+I114</f>
        <v>1975736</v>
      </c>
    </row>
    <row r="98" spans="1:9" ht="31.5" x14ac:dyDescent="0.25">
      <c r="A98" s="78" t="s">
        <v>361</v>
      </c>
      <c r="B98" s="79" t="s">
        <v>88</v>
      </c>
      <c r="C98" s="35" t="s">
        <v>70</v>
      </c>
      <c r="D98" s="79" t="s">
        <v>68</v>
      </c>
      <c r="E98" s="79" t="s">
        <v>69</v>
      </c>
      <c r="F98" s="62" t="s">
        <v>333</v>
      </c>
      <c r="G98" s="34" t="s">
        <v>333</v>
      </c>
      <c r="H98" s="34" t="s">
        <v>333</v>
      </c>
      <c r="I98" s="80">
        <f>I99+I101+I103+I105+I107</f>
        <v>1312736</v>
      </c>
    </row>
    <row r="99" spans="1:9" x14ac:dyDescent="0.25">
      <c r="A99" s="78" t="s">
        <v>362</v>
      </c>
      <c r="B99" s="79" t="s">
        <v>88</v>
      </c>
      <c r="C99" s="35">
        <v>1</v>
      </c>
      <c r="D99" s="79" t="s">
        <v>65</v>
      </c>
      <c r="E99" s="79" t="s">
        <v>69</v>
      </c>
      <c r="F99" s="62"/>
      <c r="G99" s="34"/>
      <c r="H99" s="34"/>
      <c r="I99" s="80">
        <f>I100</f>
        <v>283760.94</v>
      </c>
    </row>
    <row r="100" spans="1:9" ht="31.5" x14ac:dyDescent="0.25">
      <c r="A100" s="78" t="s">
        <v>185</v>
      </c>
      <c r="B100" s="79" t="s">
        <v>88</v>
      </c>
      <c r="C100" s="35">
        <v>1</v>
      </c>
      <c r="D100" s="79" t="s">
        <v>65</v>
      </c>
      <c r="E100" s="79" t="s">
        <v>186</v>
      </c>
      <c r="F100" s="62">
        <v>240</v>
      </c>
      <c r="G100" s="34">
        <v>1</v>
      </c>
      <c r="H100" s="34">
        <v>13</v>
      </c>
      <c r="I100" s="80">
        <f>'Прил 6'!J84</f>
        <v>283760.94</v>
      </c>
    </row>
    <row r="101" spans="1:9" ht="31.5" x14ac:dyDescent="0.25">
      <c r="A101" s="78" t="s">
        <v>363</v>
      </c>
      <c r="B101" s="79" t="s">
        <v>88</v>
      </c>
      <c r="C101" s="35">
        <v>1</v>
      </c>
      <c r="D101" s="79" t="s">
        <v>66</v>
      </c>
      <c r="E101" s="79" t="s">
        <v>69</v>
      </c>
      <c r="F101" s="62"/>
      <c r="G101" s="34"/>
      <c r="H101" s="34"/>
      <c r="I101" s="80">
        <f>I102</f>
        <v>17880</v>
      </c>
    </row>
    <row r="102" spans="1:9" ht="31.5" x14ac:dyDescent="0.25">
      <c r="A102" s="78" t="s">
        <v>185</v>
      </c>
      <c r="B102" s="79" t="s">
        <v>88</v>
      </c>
      <c r="C102" s="35">
        <v>1</v>
      </c>
      <c r="D102" s="79" t="s">
        <v>66</v>
      </c>
      <c r="E102" s="79" t="s">
        <v>186</v>
      </c>
      <c r="F102" s="62">
        <v>240</v>
      </c>
      <c r="G102" s="34">
        <v>1</v>
      </c>
      <c r="H102" s="34">
        <v>13</v>
      </c>
      <c r="I102" s="80">
        <f>'Прил 6'!J87</f>
        <v>17880</v>
      </c>
    </row>
    <row r="103" spans="1:9" x14ac:dyDescent="0.25">
      <c r="A103" s="78" t="s">
        <v>364</v>
      </c>
      <c r="B103" s="79" t="s">
        <v>88</v>
      </c>
      <c r="C103" s="35">
        <v>1</v>
      </c>
      <c r="D103" s="79" t="s">
        <v>72</v>
      </c>
      <c r="E103" s="79" t="s">
        <v>69</v>
      </c>
      <c r="F103" s="62"/>
      <c r="G103" s="34"/>
      <c r="H103" s="34"/>
      <c r="I103" s="80">
        <f>I104</f>
        <v>922036</v>
      </c>
    </row>
    <row r="104" spans="1:9" ht="31.5" x14ac:dyDescent="0.25">
      <c r="A104" s="78" t="s">
        <v>185</v>
      </c>
      <c r="B104" s="79" t="s">
        <v>88</v>
      </c>
      <c r="C104" s="35">
        <v>1</v>
      </c>
      <c r="D104" s="79" t="s">
        <v>72</v>
      </c>
      <c r="E104" s="79" t="s">
        <v>186</v>
      </c>
      <c r="F104" s="62">
        <v>240</v>
      </c>
      <c r="G104" s="34">
        <v>1</v>
      </c>
      <c r="H104" s="34">
        <v>13</v>
      </c>
      <c r="I104" s="80">
        <f>'Прил 6'!J90</f>
        <v>922036</v>
      </c>
    </row>
    <row r="105" spans="1:9" x14ac:dyDescent="0.25">
      <c r="A105" s="78" t="s">
        <v>365</v>
      </c>
      <c r="B105" s="79" t="s">
        <v>88</v>
      </c>
      <c r="C105" s="35">
        <v>1</v>
      </c>
      <c r="D105" s="79" t="s">
        <v>83</v>
      </c>
      <c r="E105" s="79" t="s">
        <v>69</v>
      </c>
      <c r="F105" s="62"/>
      <c r="G105" s="34"/>
      <c r="H105" s="34"/>
      <c r="I105" s="80">
        <f>I106</f>
        <v>69059.06</v>
      </c>
    </row>
    <row r="106" spans="1:9" ht="31.5" x14ac:dyDescent="0.25">
      <c r="A106" s="78" t="s">
        <v>185</v>
      </c>
      <c r="B106" s="79" t="s">
        <v>88</v>
      </c>
      <c r="C106" s="35">
        <v>1</v>
      </c>
      <c r="D106" s="79" t="s">
        <v>83</v>
      </c>
      <c r="E106" s="79" t="s">
        <v>186</v>
      </c>
      <c r="F106" s="62">
        <v>240</v>
      </c>
      <c r="G106" s="34">
        <v>1</v>
      </c>
      <c r="H106" s="34">
        <v>13</v>
      </c>
      <c r="I106" s="80">
        <f>'Прил 6'!J93</f>
        <v>69059.06</v>
      </c>
    </row>
    <row r="107" spans="1:9" ht="47.25" x14ac:dyDescent="0.25">
      <c r="A107" s="78" t="s">
        <v>366</v>
      </c>
      <c r="B107" s="79" t="s">
        <v>88</v>
      </c>
      <c r="C107" s="35">
        <v>1</v>
      </c>
      <c r="D107" s="79" t="s">
        <v>84</v>
      </c>
      <c r="E107" s="79" t="s">
        <v>69</v>
      </c>
      <c r="F107" s="62"/>
      <c r="G107" s="34"/>
      <c r="H107" s="34"/>
      <c r="I107" s="80">
        <f>I108</f>
        <v>20000</v>
      </c>
    </row>
    <row r="108" spans="1:9" ht="31.5" x14ac:dyDescent="0.25">
      <c r="A108" s="78" t="s">
        <v>185</v>
      </c>
      <c r="B108" s="79" t="s">
        <v>88</v>
      </c>
      <c r="C108" s="35">
        <v>1</v>
      </c>
      <c r="D108" s="79" t="s">
        <v>84</v>
      </c>
      <c r="E108" s="79" t="s">
        <v>186</v>
      </c>
      <c r="F108" s="62">
        <v>240</v>
      </c>
      <c r="G108" s="34">
        <v>1</v>
      </c>
      <c r="H108" s="34">
        <v>13</v>
      </c>
      <c r="I108" s="80">
        <f>'Прил 6'!J96</f>
        <v>20000</v>
      </c>
    </row>
    <row r="109" spans="1:9" ht="31.5" x14ac:dyDescent="0.25">
      <c r="A109" s="78" t="s">
        <v>367</v>
      </c>
      <c r="B109" s="79" t="s">
        <v>88</v>
      </c>
      <c r="C109" s="79">
        <v>2</v>
      </c>
      <c r="D109" s="79" t="s">
        <v>68</v>
      </c>
      <c r="E109" s="79" t="s">
        <v>69</v>
      </c>
      <c r="F109" s="62" t="s">
        <v>333</v>
      </c>
      <c r="G109" s="34" t="s">
        <v>333</v>
      </c>
      <c r="H109" s="34" t="s">
        <v>333</v>
      </c>
      <c r="I109" s="80">
        <f>I110+I112</f>
        <v>663000</v>
      </c>
    </row>
    <row r="110" spans="1:9" x14ac:dyDescent="0.25">
      <c r="A110" s="78" t="s">
        <v>362</v>
      </c>
      <c r="B110" s="79" t="s">
        <v>88</v>
      </c>
      <c r="C110" s="79" t="s">
        <v>73</v>
      </c>
      <c r="D110" s="79" t="s">
        <v>65</v>
      </c>
      <c r="E110" s="79" t="s">
        <v>69</v>
      </c>
      <c r="F110" s="62"/>
      <c r="G110" s="34"/>
      <c r="H110" s="34"/>
      <c r="I110" s="80">
        <f>I111</f>
        <v>150000</v>
      </c>
    </row>
    <row r="111" spans="1:9" ht="31.5" x14ac:dyDescent="0.25">
      <c r="A111" s="78" t="s">
        <v>185</v>
      </c>
      <c r="B111" s="79" t="s">
        <v>88</v>
      </c>
      <c r="C111" s="79" t="s">
        <v>73</v>
      </c>
      <c r="D111" s="79" t="s">
        <v>65</v>
      </c>
      <c r="E111" s="79" t="s">
        <v>186</v>
      </c>
      <c r="F111" s="62">
        <v>240</v>
      </c>
      <c r="G111" s="34">
        <v>5</v>
      </c>
      <c r="H111" s="34">
        <v>5</v>
      </c>
      <c r="I111" s="80">
        <f>'Прил 6'!J271</f>
        <v>150000</v>
      </c>
    </row>
    <row r="112" spans="1:9" x14ac:dyDescent="0.25">
      <c r="A112" s="78" t="s">
        <v>368</v>
      </c>
      <c r="B112" s="79" t="s">
        <v>88</v>
      </c>
      <c r="C112" s="79" t="s">
        <v>73</v>
      </c>
      <c r="D112" s="79" t="s">
        <v>66</v>
      </c>
      <c r="E112" s="79" t="s">
        <v>69</v>
      </c>
      <c r="F112" s="62"/>
      <c r="G112" s="34"/>
      <c r="H112" s="34"/>
      <c r="I112" s="80">
        <f>I113</f>
        <v>513000</v>
      </c>
    </row>
    <row r="113" spans="1:9" ht="31.5" x14ac:dyDescent="0.25">
      <c r="A113" s="78" t="s">
        <v>185</v>
      </c>
      <c r="B113" s="79" t="s">
        <v>88</v>
      </c>
      <c r="C113" s="79" t="s">
        <v>73</v>
      </c>
      <c r="D113" s="79" t="s">
        <v>66</v>
      </c>
      <c r="E113" s="79" t="s">
        <v>186</v>
      </c>
      <c r="F113" s="62">
        <v>240</v>
      </c>
      <c r="G113" s="34">
        <v>5</v>
      </c>
      <c r="H113" s="34">
        <v>5</v>
      </c>
      <c r="I113" s="80">
        <f>'Прил 6'!J274</f>
        <v>513000</v>
      </c>
    </row>
    <row r="114" spans="1:9" ht="31.5" hidden="1" x14ac:dyDescent="0.25">
      <c r="A114" s="78" t="s">
        <v>367</v>
      </c>
      <c r="B114" s="79" t="s">
        <v>88</v>
      </c>
      <c r="C114" s="79" t="s">
        <v>74</v>
      </c>
      <c r="D114" s="79" t="s">
        <v>68</v>
      </c>
      <c r="E114" s="79" t="s">
        <v>69</v>
      </c>
      <c r="F114" s="62" t="s">
        <v>333</v>
      </c>
      <c r="G114" s="34" t="s">
        <v>333</v>
      </c>
      <c r="H114" s="34" t="s">
        <v>333</v>
      </c>
      <c r="I114" s="80">
        <f>I115+I117</f>
        <v>0</v>
      </c>
    </row>
    <row r="115" spans="1:9" hidden="1" x14ac:dyDescent="0.25">
      <c r="A115" s="78" t="s">
        <v>362</v>
      </c>
      <c r="B115" s="79" t="s">
        <v>88</v>
      </c>
      <c r="C115" s="79" t="s">
        <v>74</v>
      </c>
      <c r="D115" s="79" t="s">
        <v>65</v>
      </c>
      <c r="E115" s="79" t="s">
        <v>69</v>
      </c>
      <c r="F115" s="62"/>
      <c r="G115" s="34"/>
      <c r="H115" s="34"/>
      <c r="I115" s="80">
        <f>I116</f>
        <v>0</v>
      </c>
    </row>
    <row r="116" spans="1:9" ht="31.5" hidden="1" x14ac:dyDescent="0.25">
      <c r="A116" s="78" t="s">
        <v>185</v>
      </c>
      <c r="B116" s="79" t="s">
        <v>88</v>
      </c>
      <c r="C116" s="79" t="s">
        <v>74</v>
      </c>
      <c r="D116" s="79" t="s">
        <v>65</v>
      </c>
      <c r="E116" s="79" t="s">
        <v>186</v>
      </c>
      <c r="F116" s="62">
        <v>240</v>
      </c>
      <c r="G116" s="34">
        <v>8</v>
      </c>
      <c r="H116" s="34">
        <v>1</v>
      </c>
      <c r="I116" s="80">
        <f>'Прил 6'!J304</f>
        <v>0</v>
      </c>
    </row>
    <row r="117" spans="1:9" ht="47.25" hidden="1" x14ac:dyDescent="0.25">
      <c r="A117" s="78" t="s">
        <v>428</v>
      </c>
      <c r="B117" s="79" t="s">
        <v>88</v>
      </c>
      <c r="C117" s="35">
        <v>3</v>
      </c>
      <c r="D117" s="79" t="s">
        <v>66</v>
      </c>
      <c r="E117" s="79" t="s">
        <v>69</v>
      </c>
      <c r="F117" s="62"/>
      <c r="G117" s="34"/>
      <c r="H117" s="34"/>
      <c r="I117" s="80">
        <f>I118</f>
        <v>0</v>
      </c>
    </row>
    <row r="118" spans="1:9" ht="31.5" hidden="1" x14ac:dyDescent="0.25">
      <c r="A118" s="78" t="s">
        <v>185</v>
      </c>
      <c r="B118" s="79" t="s">
        <v>88</v>
      </c>
      <c r="C118" s="35">
        <v>3</v>
      </c>
      <c r="D118" s="79" t="s">
        <v>66</v>
      </c>
      <c r="E118" s="79" t="s">
        <v>186</v>
      </c>
      <c r="F118" s="62">
        <v>240</v>
      </c>
      <c r="G118" s="34">
        <v>8</v>
      </c>
      <c r="H118" s="34">
        <v>1</v>
      </c>
      <c r="I118" s="80">
        <f>'Прил 6'!J307</f>
        <v>0</v>
      </c>
    </row>
    <row r="119" spans="1:9" ht="47.25" x14ac:dyDescent="0.25">
      <c r="A119" s="78" t="s">
        <v>192</v>
      </c>
      <c r="B119" s="79" t="s">
        <v>112</v>
      </c>
      <c r="C119" s="35" t="s">
        <v>67</v>
      </c>
      <c r="D119" s="79" t="s">
        <v>68</v>
      </c>
      <c r="E119" s="79" t="s">
        <v>69</v>
      </c>
      <c r="F119" s="62" t="s">
        <v>333</v>
      </c>
      <c r="G119" s="34" t="s">
        <v>333</v>
      </c>
      <c r="H119" s="34" t="s">
        <v>333</v>
      </c>
      <c r="I119" s="80">
        <f>SUM(I120:I121)</f>
        <v>12000</v>
      </c>
    </row>
    <row r="120" spans="1:9" ht="31.5" x14ac:dyDescent="0.25">
      <c r="A120" s="78" t="s">
        <v>402</v>
      </c>
      <c r="B120" s="79" t="s">
        <v>112</v>
      </c>
      <c r="C120" s="35">
        <v>0</v>
      </c>
      <c r="D120" s="79" t="s">
        <v>68</v>
      </c>
      <c r="E120" s="79" t="s">
        <v>403</v>
      </c>
      <c r="F120" s="62">
        <v>350</v>
      </c>
      <c r="G120" s="34">
        <v>1</v>
      </c>
      <c r="H120" s="34">
        <v>13</v>
      </c>
      <c r="I120" s="80">
        <f>'Прил 6'!J103</f>
        <v>6000</v>
      </c>
    </row>
    <row r="121" spans="1:9" ht="63" hidden="1" x14ac:dyDescent="0.25">
      <c r="A121" s="78" t="s">
        <v>415</v>
      </c>
      <c r="B121" s="79" t="s">
        <v>112</v>
      </c>
      <c r="C121" s="35">
        <v>0</v>
      </c>
      <c r="D121" s="79" t="s">
        <v>68</v>
      </c>
      <c r="E121" s="79" t="s">
        <v>405</v>
      </c>
      <c r="F121" s="62">
        <v>350</v>
      </c>
      <c r="G121" s="34">
        <v>1</v>
      </c>
      <c r="H121" s="34">
        <v>13</v>
      </c>
      <c r="I121" s="80">
        <f>'Прил 6'!J105</f>
        <v>6000</v>
      </c>
    </row>
    <row r="122" spans="1:9" ht="78.75" x14ac:dyDescent="0.25">
      <c r="A122" s="36" t="s">
        <v>296</v>
      </c>
      <c r="B122" s="79" t="s">
        <v>102</v>
      </c>
      <c r="C122" s="35" t="s">
        <v>67</v>
      </c>
      <c r="D122" s="79" t="s">
        <v>68</v>
      </c>
      <c r="E122" s="79" t="s">
        <v>69</v>
      </c>
      <c r="F122" s="62"/>
      <c r="G122" s="34"/>
      <c r="H122" s="34"/>
      <c r="I122" s="80">
        <f>I123</f>
        <v>30000</v>
      </c>
    </row>
    <row r="123" spans="1:9" ht="31.5" x14ac:dyDescent="0.25">
      <c r="A123" s="36" t="s">
        <v>297</v>
      </c>
      <c r="B123" s="79" t="s">
        <v>102</v>
      </c>
      <c r="C123" s="35">
        <v>0</v>
      </c>
      <c r="D123" s="79" t="s">
        <v>68</v>
      </c>
      <c r="E123" s="79" t="s">
        <v>298</v>
      </c>
      <c r="F123" s="62">
        <v>240</v>
      </c>
      <c r="G123" s="34">
        <v>7</v>
      </c>
      <c r="H123" s="34">
        <v>5</v>
      </c>
      <c r="I123" s="80">
        <f>'Прил 6'!J279</f>
        <v>30000</v>
      </c>
    </row>
    <row r="124" spans="1:9" ht="47.25" x14ac:dyDescent="0.25">
      <c r="A124" s="78" t="s">
        <v>194</v>
      </c>
      <c r="B124" s="79" t="s">
        <v>90</v>
      </c>
      <c r="C124" s="35" t="s">
        <v>67</v>
      </c>
      <c r="D124" s="79" t="s">
        <v>68</v>
      </c>
      <c r="E124" s="79" t="s">
        <v>69</v>
      </c>
      <c r="F124" s="62" t="s">
        <v>333</v>
      </c>
      <c r="G124" s="34" t="s">
        <v>333</v>
      </c>
      <c r="H124" s="34" t="s">
        <v>333</v>
      </c>
      <c r="I124" s="80">
        <f>I125</f>
        <v>10000</v>
      </c>
    </row>
    <row r="125" spans="1:9" x14ac:dyDescent="0.25">
      <c r="A125" s="78" t="s">
        <v>369</v>
      </c>
      <c r="B125" s="79" t="s">
        <v>90</v>
      </c>
      <c r="C125" s="35">
        <v>0</v>
      </c>
      <c r="D125" s="79" t="s">
        <v>65</v>
      </c>
      <c r="E125" s="79" t="s">
        <v>69</v>
      </c>
      <c r="F125" s="62"/>
      <c r="G125" s="34"/>
      <c r="H125" s="34"/>
      <c r="I125" s="80">
        <f>SUM(I126:I126)</f>
        <v>10000</v>
      </c>
    </row>
    <row r="126" spans="1:9" x14ac:dyDescent="0.25">
      <c r="A126" s="78" t="s">
        <v>196</v>
      </c>
      <c r="B126" s="79" t="s">
        <v>90</v>
      </c>
      <c r="C126" s="35">
        <v>0</v>
      </c>
      <c r="D126" s="79" t="s">
        <v>65</v>
      </c>
      <c r="E126" s="79" t="s">
        <v>197</v>
      </c>
      <c r="F126" s="62">
        <v>240</v>
      </c>
      <c r="G126" s="34">
        <v>1</v>
      </c>
      <c r="H126" s="34">
        <v>13</v>
      </c>
      <c r="I126" s="80">
        <f>'Прил 6'!J109</f>
        <v>10000</v>
      </c>
    </row>
    <row r="127" spans="1:9" ht="47.25" x14ac:dyDescent="0.25">
      <c r="A127" s="78" t="s">
        <v>143</v>
      </c>
      <c r="B127" s="79" t="s">
        <v>94</v>
      </c>
      <c r="C127" s="35" t="s">
        <v>67</v>
      </c>
      <c r="D127" s="79" t="s">
        <v>68</v>
      </c>
      <c r="E127" s="79" t="s">
        <v>69</v>
      </c>
      <c r="F127" s="62" t="s">
        <v>333</v>
      </c>
      <c r="G127" s="34" t="s">
        <v>333</v>
      </c>
      <c r="H127" s="34" t="s">
        <v>333</v>
      </c>
      <c r="I127" s="80">
        <f>I128</f>
        <v>635000</v>
      </c>
    </row>
    <row r="128" spans="1:9" ht="31.5" x14ac:dyDescent="0.25">
      <c r="A128" s="78" t="s">
        <v>370</v>
      </c>
      <c r="B128" s="79" t="s">
        <v>94</v>
      </c>
      <c r="C128" s="35">
        <v>0</v>
      </c>
      <c r="D128" s="79" t="s">
        <v>65</v>
      </c>
      <c r="E128" s="79" t="s">
        <v>69</v>
      </c>
      <c r="F128" s="62" t="s">
        <v>333</v>
      </c>
      <c r="G128" s="34" t="s">
        <v>333</v>
      </c>
      <c r="H128" s="34" t="s">
        <v>333</v>
      </c>
      <c r="I128" s="80">
        <f>SUM(I129:I130)</f>
        <v>635000</v>
      </c>
    </row>
    <row r="129" spans="1:9" ht="31.5" x14ac:dyDescent="0.25">
      <c r="A129" s="78" t="s">
        <v>144</v>
      </c>
      <c r="B129" s="79" t="s">
        <v>94</v>
      </c>
      <c r="C129" s="35">
        <v>0</v>
      </c>
      <c r="D129" s="79" t="s">
        <v>65</v>
      </c>
      <c r="E129" s="79">
        <v>26910</v>
      </c>
      <c r="F129" s="62">
        <v>240</v>
      </c>
      <c r="G129" s="34">
        <v>1</v>
      </c>
      <c r="H129" s="34">
        <v>13</v>
      </c>
      <c r="I129" s="80">
        <f>'Прил 6'!J113</f>
        <v>135000</v>
      </c>
    </row>
    <row r="130" spans="1:9" ht="31.5" x14ac:dyDescent="0.25">
      <c r="A130" s="78" t="s">
        <v>144</v>
      </c>
      <c r="B130" s="79" t="s">
        <v>94</v>
      </c>
      <c r="C130" s="35">
        <v>0</v>
      </c>
      <c r="D130" s="79" t="s">
        <v>66</v>
      </c>
      <c r="E130" s="79">
        <v>26910</v>
      </c>
      <c r="F130" s="62">
        <v>240</v>
      </c>
      <c r="G130" s="34">
        <v>1</v>
      </c>
      <c r="H130" s="34">
        <v>13</v>
      </c>
      <c r="I130" s="80">
        <f>'Прил 6'!J116</f>
        <v>500000</v>
      </c>
    </row>
    <row r="131" spans="1:9" ht="47.25" x14ac:dyDescent="0.25">
      <c r="A131" s="78" t="s">
        <v>198</v>
      </c>
      <c r="B131" s="79" t="s">
        <v>99</v>
      </c>
      <c r="C131" s="35" t="s">
        <v>67</v>
      </c>
      <c r="D131" s="79" t="s">
        <v>68</v>
      </c>
      <c r="E131" s="79" t="s">
        <v>69</v>
      </c>
      <c r="F131" s="62"/>
      <c r="G131" s="34"/>
      <c r="H131" s="34"/>
      <c r="I131" s="80">
        <f>I132+I134</f>
        <v>630000</v>
      </c>
    </row>
    <row r="132" spans="1:9" ht="47.25" x14ac:dyDescent="0.25">
      <c r="A132" s="78" t="s">
        <v>199</v>
      </c>
      <c r="B132" s="79" t="s">
        <v>99</v>
      </c>
      <c r="C132" s="35">
        <v>0</v>
      </c>
      <c r="D132" s="79" t="s">
        <v>66</v>
      </c>
      <c r="E132" s="79" t="s">
        <v>69</v>
      </c>
      <c r="F132" s="62"/>
      <c r="G132" s="34"/>
      <c r="H132" s="34"/>
      <c r="I132" s="80">
        <f>I133</f>
        <v>600000</v>
      </c>
    </row>
    <row r="133" spans="1:9" x14ac:dyDescent="0.25">
      <c r="A133" s="36" t="s">
        <v>200</v>
      </c>
      <c r="B133" s="79" t="s">
        <v>99</v>
      </c>
      <c r="C133" s="35">
        <v>0</v>
      </c>
      <c r="D133" s="79" t="s">
        <v>66</v>
      </c>
      <c r="E133" s="79" t="s">
        <v>201</v>
      </c>
      <c r="F133" s="62">
        <v>240</v>
      </c>
      <c r="G133" s="34">
        <v>1</v>
      </c>
      <c r="H133" s="34">
        <v>13</v>
      </c>
      <c r="I133" s="80">
        <f>'Прил 6'!J120</f>
        <v>600000</v>
      </c>
    </row>
    <row r="134" spans="1:9" ht="47.25" x14ac:dyDescent="0.25">
      <c r="A134" s="45" t="s">
        <v>449</v>
      </c>
      <c r="B134" s="79" t="s">
        <v>99</v>
      </c>
      <c r="C134" s="35">
        <v>0</v>
      </c>
      <c r="D134" s="79" t="s">
        <v>84</v>
      </c>
      <c r="E134" s="79" t="s">
        <v>69</v>
      </c>
      <c r="F134" s="62"/>
      <c r="G134" s="34"/>
      <c r="H134" s="34"/>
      <c r="I134" s="80">
        <f>I135</f>
        <v>30000</v>
      </c>
    </row>
    <row r="135" spans="1:9" ht="31.5" x14ac:dyDescent="0.25">
      <c r="A135" s="45" t="s">
        <v>450</v>
      </c>
      <c r="B135" s="79" t="s">
        <v>99</v>
      </c>
      <c r="C135" s="35">
        <v>0</v>
      </c>
      <c r="D135" s="79" t="s">
        <v>84</v>
      </c>
      <c r="E135" s="79" t="s">
        <v>448</v>
      </c>
      <c r="F135" s="62">
        <v>240</v>
      </c>
      <c r="G135" s="34">
        <v>1</v>
      </c>
      <c r="H135" s="34">
        <v>13</v>
      </c>
      <c r="I135" s="80">
        <f>'Прил 6'!J123</f>
        <v>30000</v>
      </c>
    </row>
    <row r="136" spans="1:9" ht="47.25" x14ac:dyDescent="0.25">
      <c r="A136" s="36" t="s">
        <v>282</v>
      </c>
      <c r="B136" s="79" t="s">
        <v>110</v>
      </c>
      <c r="C136" s="35">
        <v>0</v>
      </c>
      <c r="D136" s="79" t="s">
        <v>68</v>
      </c>
      <c r="E136" s="79" t="s">
        <v>69</v>
      </c>
      <c r="F136" s="62"/>
      <c r="G136" s="34"/>
      <c r="H136" s="34"/>
      <c r="I136" s="80">
        <f>I137</f>
        <v>1428.6799999999998</v>
      </c>
    </row>
    <row r="137" spans="1:9" ht="47.25" x14ac:dyDescent="0.25">
      <c r="A137" s="36" t="s">
        <v>371</v>
      </c>
      <c r="B137" s="79" t="s">
        <v>110</v>
      </c>
      <c r="C137" s="35">
        <v>1</v>
      </c>
      <c r="D137" s="79" t="s">
        <v>68</v>
      </c>
      <c r="E137" s="79" t="s">
        <v>69</v>
      </c>
      <c r="F137" s="62"/>
      <c r="G137" s="34"/>
      <c r="H137" s="34"/>
      <c r="I137" s="80">
        <f>I138+I140+I142</f>
        <v>1428.6799999999998</v>
      </c>
    </row>
    <row r="138" spans="1:9" hidden="1" x14ac:dyDescent="0.25">
      <c r="A138" s="36" t="s">
        <v>284</v>
      </c>
      <c r="B138" s="79" t="s">
        <v>110</v>
      </c>
      <c r="C138" s="35">
        <v>1</v>
      </c>
      <c r="D138" s="79" t="s">
        <v>65</v>
      </c>
      <c r="E138" s="79" t="s">
        <v>69</v>
      </c>
      <c r="F138" s="62"/>
      <c r="G138" s="34"/>
      <c r="H138" s="34"/>
      <c r="I138" s="80">
        <f>I139</f>
        <v>0</v>
      </c>
    </row>
    <row r="139" spans="1:9" hidden="1" x14ac:dyDescent="0.25">
      <c r="A139" s="36" t="s">
        <v>372</v>
      </c>
      <c r="B139" s="79" t="s">
        <v>110</v>
      </c>
      <c r="C139" s="35">
        <v>1</v>
      </c>
      <c r="D139" s="79" t="s">
        <v>65</v>
      </c>
      <c r="E139" s="79" t="s">
        <v>286</v>
      </c>
      <c r="F139" s="62">
        <v>240</v>
      </c>
      <c r="G139" s="34">
        <v>5</v>
      </c>
      <c r="H139" s="34">
        <v>3</v>
      </c>
      <c r="I139" s="80">
        <f>'Прил 6'!J249</f>
        <v>0</v>
      </c>
    </row>
    <row r="140" spans="1:9" hidden="1" x14ac:dyDescent="0.25">
      <c r="A140" s="36" t="s">
        <v>287</v>
      </c>
      <c r="B140" s="79" t="s">
        <v>110</v>
      </c>
      <c r="C140" s="35">
        <v>1</v>
      </c>
      <c r="D140" s="79" t="s">
        <v>66</v>
      </c>
      <c r="E140" s="79" t="s">
        <v>69</v>
      </c>
      <c r="F140" s="62"/>
      <c r="G140" s="34"/>
      <c r="H140" s="34"/>
      <c r="I140" s="80">
        <f>I141</f>
        <v>0</v>
      </c>
    </row>
    <row r="141" spans="1:9" ht="94.5" hidden="1" x14ac:dyDescent="0.25">
      <c r="A141" s="36" t="s">
        <v>373</v>
      </c>
      <c r="B141" s="79" t="s">
        <v>110</v>
      </c>
      <c r="C141" s="35">
        <v>1</v>
      </c>
      <c r="D141" s="79" t="s">
        <v>66</v>
      </c>
      <c r="E141" s="79" t="s">
        <v>286</v>
      </c>
      <c r="F141" s="62">
        <v>240</v>
      </c>
      <c r="G141" s="34">
        <v>5</v>
      </c>
      <c r="H141" s="34">
        <v>3</v>
      </c>
      <c r="I141" s="80">
        <f>'Прил 6'!J252</f>
        <v>0</v>
      </c>
    </row>
    <row r="142" spans="1:9" ht="78.75" x14ac:dyDescent="0.25">
      <c r="A142" s="36" t="s">
        <v>288</v>
      </c>
      <c r="B142" s="79" t="s">
        <v>110</v>
      </c>
      <c r="C142" s="35">
        <v>1</v>
      </c>
      <c r="D142" s="79" t="s">
        <v>120</v>
      </c>
      <c r="E142" s="79" t="s">
        <v>69</v>
      </c>
      <c r="F142" s="62"/>
      <c r="G142" s="34"/>
      <c r="H142" s="34"/>
      <c r="I142" s="80">
        <f>I143</f>
        <v>1428.6799999999998</v>
      </c>
    </row>
    <row r="143" spans="1:9" ht="78.75" x14ac:dyDescent="0.25">
      <c r="A143" s="36" t="s">
        <v>285</v>
      </c>
      <c r="B143" s="79" t="s">
        <v>110</v>
      </c>
      <c r="C143" s="35">
        <v>1</v>
      </c>
      <c r="D143" s="79" t="s">
        <v>120</v>
      </c>
      <c r="E143" s="79" t="s">
        <v>121</v>
      </c>
      <c r="F143" s="62">
        <v>540</v>
      </c>
      <c r="G143" s="34">
        <v>5</v>
      </c>
      <c r="H143" s="34">
        <v>3</v>
      </c>
      <c r="I143" s="80">
        <f>'Прил 6'!J255</f>
        <v>1428.6799999999998</v>
      </c>
    </row>
    <row r="144" spans="1:9" x14ac:dyDescent="0.25">
      <c r="A144" s="110" t="s">
        <v>133</v>
      </c>
      <c r="B144" s="111"/>
      <c r="C144" s="111"/>
      <c r="D144" s="111"/>
      <c r="E144" s="111"/>
      <c r="F144" s="111"/>
      <c r="G144" s="111"/>
      <c r="H144" s="111"/>
      <c r="I144" s="112">
        <f>I22+I31+I42+I71+I73+I78+I97+I119+I122+I124+I127+I131+I136</f>
        <v>203458746.23000002</v>
      </c>
    </row>
  </sheetData>
  <mergeCells count="16">
    <mergeCell ref="B1:I1"/>
    <mergeCell ref="B2:I2"/>
    <mergeCell ref="B3:I3"/>
    <mergeCell ref="B4:I4"/>
    <mergeCell ref="B5:I5"/>
    <mergeCell ref="B6:I6"/>
    <mergeCell ref="B7:I7"/>
    <mergeCell ref="B21:E21"/>
    <mergeCell ref="C11:I11"/>
    <mergeCell ref="C10:I10"/>
    <mergeCell ref="C12:I12"/>
    <mergeCell ref="C13:I13"/>
    <mergeCell ref="C14:I14"/>
    <mergeCell ref="C15:I15"/>
    <mergeCell ref="A18:I18"/>
    <mergeCell ref="A20:I20"/>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J128"/>
  <sheetViews>
    <sheetView view="pageBreakPreview" zoomScaleNormal="100" zoomScaleSheetLayoutView="100" workbookViewId="0">
      <selection activeCell="F20" sqref="F20"/>
    </sheetView>
  </sheetViews>
  <sheetFormatPr defaultColWidth="8.85546875" defaultRowHeight="15.75" x14ac:dyDescent="0.25"/>
  <cols>
    <col min="1" max="1" width="60.5703125" style="176" customWidth="1"/>
    <col min="2" max="4" width="4.42578125" style="177" customWidth="1"/>
    <col min="5" max="5" width="7.85546875" style="177" customWidth="1"/>
    <col min="6" max="6" width="8.140625" style="177" customWidth="1"/>
    <col min="7" max="8" width="4.7109375" style="177" customWidth="1"/>
    <col min="9" max="10" width="18.28515625" style="179" customWidth="1"/>
    <col min="11" max="16384" width="8.85546875" style="147"/>
  </cols>
  <sheetData>
    <row r="1" spans="1:10" x14ac:dyDescent="0.25">
      <c r="C1" s="246" t="s">
        <v>340</v>
      </c>
      <c r="D1" s="246"/>
      <c r="E1" s="246"/>
      <c r="F1" s="246"/>
      <c r="G1" s="246"/>
      <c r="H1" s="246"/>
      <c r="I1" s="246"/>
      <c r="J1" s="246"/>
    </row>
    <row r="2" spans="1:10" x14ac:dyDescent="0.25">
      <c r="C2" s="246" t="s">
        <v>38</v>
      </c>
      <c r="D2" s="246"/>
      <c r="E2" s="246"/>
      <c r="F2" s="246"/>
      <c r="G2" s="246"/>
      <c r="H2" s="246"/>
      <c r="I2" s="246"/>
      <c r="J2" s="246"/>
    </row>
    <row r="3" spans="1:10" x14ac:dyDescent="0.25">
      <c r="C3" s="246" t="s">
        <v>436</v>
      </c>
      <c r="D3" s="246"/>
      <c r="E3" s="246"/>
      <c r="F3" s="246"/>
      <c r="G3" s="246"/>
      <c r="H3" s="246"/>
      <c r="I3" s="246"/>
      <c r="J3" s="246"/>
    </row>
    <row r="4" spans="1:10" x14ac:dyDescent="0.25">
      <c r="C4" s="246" t="s">
        <v>440</v>
      </c>
      <c r="D4" s="246"/>
      <c r="E4" s="246"/>
      <c r="F4" s="246"/>
      <c r="G4" s="246"/>
      <c r="H4" s="246"/>
      <c r="I4" s="246"/>
      <c r="J4" s="246"/>
    </row>
    <row r="5" spans="1:10" x14ac:dyDescent="0.25">
      <c r="C5" s="246" t="s">
        <v>437</v>
      </c>
      <c r="D5" s="246"/>
      <c r="E5" s="246"/>
      <c r="F5" s="246"/>
      <c r="G5" s="246"/>
      <c r="H5" s="246"/>
      <c r="I5" s="246"/>
      <c r="J5" s="246"/>
    </row>
    <row r="6" spans="1:10" x14ac:dyDescent="0.25">
      <c r="C6" s="246" t="s">
        <v>441</v>
      </c>
      <c r="D6" s="246"/>
      <c r="E6" s="246"/>
      <c r="F6" s="246"/>
      <c r="G6" s="246"/>
      <c r="H6" s="246"/>
      <c r="I6" s="246"/>
      <c r="J6" s="246"/>
    </row>
    <row r="7" spans="1:10" x14ac:dyDescent="0.25">
      <c r="C7" s="246" t="s">
        <v>504</v>
      </c>
      <c r="D7" s="246"/>
      <c r="E7" s="246"/>
      <c r="F7" s="246"/>
      <c r="G7" s="246"/>
      <c r="H7" s="246"/>
      <c r="I7" s="246"/>
      <c r="J7" s="246"/>
    </row>
    <row r="9" spans="1:10" ht="16.5" customHeight="1" x14ac:dyDescent="0.25">
      <c r="A9" s="145"/>
      <c r="B9" s="146"/>
      <c r="C9" s="146"/>
      <c r="D9" s="146"/>
      <c r="E9" s="146"/>
      <c r="F9" s="263" t="s">
        <v>492</v>
      </c>
      <c r="G9" s="263"/>
      <c r="H9" s="263"/>
      <c r="I9" s="263"/>
      <c r="J9" s="263"/>
    </row>
    <row r="10" spans="1:10" ht="15.75" customHeight="1" x14ac:dyDescent="0.25">
      <c r="A10" s="145"/>
      <c r="B10" s="146"/>
      <c r="C10" s="146"/>
      <c r="D10" s="146"/>
      <c r="E10" s="146"/>
      <c r="F10" s="263" t="s">
        <v>38</v>
      </c>
      <c r="G10" s="263"/>
      <c r="H10" s="263"/>
      <c r="I10" s="263"/>
      <c r="J10" s="263"/>
    </row>
    <row r="11" spans="1:10" x14ac:dyDescent="0.25">
      <c r="A11" s="145"/>
      <c r="B11" s="146"/>
      <c r="C11" s="146"/>
      <c r="D11" s="146"/>
      <c r="E11" s="146"/>
      <c r="F11" s="255" t="s">
        <v>40</v>
      </c>
      <c r="G11" s="255"/>
      <c r="H11" s="255"/>
      <c r="I11" s="255"/>
      <c r="J11" s="255"/>
    </row>
    <row r="12" spans="1:10" x14ac:dyDescent="0.25">
      <c r="A12" s="145"/>
      <c r="B12" s="146"/>
      <c r="C12" s="146"/>
      <c r="D12" s="146"/>
      <c r="E12" s="146"/>
      <c r="F12" s="255" t="s">
        <v>41</v>
      </c>
      <c r="G12" s="255"/>
      <c r="H12" s="255"/>
      <c r="I12" s="255"/>
      <c r="J12" s="255"/>
    </row>
    <row r="13" spans="1:10" ht="15.75" customHeight="1" x14ac:dyDescent="0.25">
      <c r="A13" s="145"/>
      <c r="B13" s="146"/>
      <c r="C13" s="146"/>
      <c r="D13" s="146"/>
      <c r="E13" s="146"/>
      <c r="F13" s="263" t="s">
        <v>419</v>
      </c>
      <c r="G13" s="263"/>
      <c r="H13" s="263"/>
      <c r="I13" s="263"/>
      <c r="J13" s="263"/>
    </row>
    <row r="14" spans="1:10" ht="15.75" customHeight="1" x14ac:dyDescent="0.25">
      <c r="A14" s="145"/>
      <c r="B14" s="146"/>
      <c r="C14" s="146"/>
      <c r="D14" s="146"/>
      <c r="E14" s="146"/>
      <c r="F14" s="263" t="s">
        <v>435</v>
      </c>
      <c r="G14" s="263"/>
      <c r="H14" s="263"/>
      <c r="I14" s="263"/>
      <c r="J14" s="263"/>
    </row>
    <row r="15" spans="1:10" x14ac:dyDescent="0.25">
      <c r="A15" s="145"/>
      <c r="B15" s="146"/>
      <c r="C15" s="146"/>
      <c r="D15" s="146"/>
      <c r="E15" s="146"/>
      <c r="F15" s="146"/>
      <c r="G15" s="146"/>
      <c r="H15" s="146"/>
      <c r="I15" s="148"/>
      <c r="J15" s="148"/>
    </row>
    <row r="16" spans="1:10" x14ac:dyDescent="0.25">
      <c r="A16" s="145"/>
      <c r="B16" s="146"/>
      <c r="C16" s="146"/>
      <c r="D16" s="146"/>
      <c r="E16" s="146"/>
      <c r="F16" s="146"/>
      <c r="G16" s="146"/>
      <c r="H16" s="146"/>
      <c r="I16" s="148"/>
      <c r="J16" s="148"/>
    </row>
    <row r="17" spans="1:10" ht="97.5" customHeight="1" x14ac:dyDescent="0.25">
      <c r="A17" s="247" t="s">
        <v>493</v>
      </c>
      <c r="B17" s="247"/>
      <c r="C17" s="247"/>
      <c r="D17" s="247"/>
      <c r="E17" s="247"/>
      <c r="F17" s="247"/>
      <c r="G17" s="247"/>
      <c r="H17" s="247"/>
      <c r="I17" s="247"/>
      <c r="J17" s="247"/>
    </row>
    <row r="18" spans="1:10" ht="18.75" x14ac:dyDescent="0.25">
      <c r="A18" s="192"/>
      <c r="B18" s="192"/>
      <c r="C18" s="192"/>
      <c r="D18" s="192"/>
      <c r="E18" s="192"/>
      <c r="F18" s="192"/>
      <c r="G18" s="192"/>
      <c r="H18" s="192"/>
      <c r="I18" s="192"/>
      <c r="J18" s="192"/>
    </row>
    <row r="19" spans="1:10" x14ac:dyDescent="0.25">
      <c r="A19" s="248" t="s">
        <v>37</v>
      </c>
      <c r="B19" s="248"/>
      <c r="C19" s="248"/>
      <c r="D19" s="248"/>
      <c r="E19" s="248"/>
      <c r="F19" s="248"/>
      <c r="G19" s="248"/>
      <c r="H19" s="248"/>
      <c r="I19" s="248"/>
      <c r="J19" s="248"/>
    </row>
    <row r="20" spans="1:10" ht="94.5" x14ac:dyDescent="0.25">
      <c r="A20" s="152" t="s">
        <v>59</v>
      </c>
      <c r="B20" s="251" t="s">
        <v>62</v>
      </c>
      <c r="C20" s="252"/>
      <c r="D20" s="252"/>
      <c r="E20" s="253"/>
      <c r="F20" s="152" t="s">
        <v>342</v>
      </c>
      <c r="G20" s="193" t="s">
        <v>330</v>
      </c>
      <c r="H20" s="152" t="s">
        <v>331</v>
      </c>
      <c r="I20" s="152" t="s">
        <v>397</v>
      </c>
      <c r="J20" s="152" t="s">
        <v>420</v>
      </c>
    </row>
    <row r="21" spans="1:10" ht="47.25" x14ac:dyDescent="0.25">
      <c r="A21" s="72" t="s">
        <v>171</v>
      </c>
      <c r="B21" s="73" t="s">
        <v>65</v>
      </c>
      <c r="C21" s="74" t="s">
        <v>67</v>
      </c>
      <c r="D21" s="73" t="s">
        <v>68</v>
      </c>
      <c r="E21" s="73" t="s">
        <v>69</v>
      </c>
      <c r="F21" s="75" t="s">
        <v>333</v>
      </c>
      <c r="G21" s="76" t="s">
        <v>333</v>
      </c>
      <c r="H21" s="76" t="s">
        <v>333</v>
      </c>
      <c r="I21" s="77">
        <f>I22+I26</f>
        <v>2269684.31</v>
      </c>
      <c r="J21" s="77">
        <f>J22+J26</f>
        <v>2293137.2200000002</v>
      </c>
    </row>
    <row r="22" spans="1:10" x14ac:dyDescent="0.25">
      <c r="A22" s="78" t="s">
        <v>343</v>
      </c>
      <c r="B22" s="79" t="s">
        <v>65</v>
      </c>
      <c r="C22" s="35" t="s">
        <v>70</v>
      </c>
      <c r="D22" s="79" t="s">
        <v>68</v>
      </c>
      <c r="E22" s="79" t="s">
        <v>69</v>
      </c>
      <c r="F22" s="62" t="s">
        <v>333</v>
      </c>
      <c r="G22" s="34" t="s">
        <v>333</v>
      </c>
      <c r="H22" s="34" t="s">
        <v>333</v>
      </c>
      <c r="I22" s="80">
        <f>SUM(I23:I25)</f>
        <v>2049684.31</v>
      </c>
      <c r="J22" s="80">
        <f>SUM(J23:J25)</f>
        <v>2073137.2200000002</v>
      </c>
    </row>
    <row r="23" spans="1:10" x14ac:dyDescent="0.25">
      <c r="A23" s="78" t="s">
        <v>173</v>
      </c>
      <c r="B23" s="79" t="s">
        <v>65</v>
      </c>
      <c r="C23" s="35" t="s">
        <v>70</v>
      </c>
      <c r="D23" s="79" t="s">
        <v>68</v>
      </c>
      <c r="E23" s="79">
        <v>29060</v>
      </c>
      <c r="F23" s="62">
        <v>240</v>
      </c>
      <c r="G23" s="34">
        <v>1</v>
      </c>
      <c r="H23" s="34">
        <v>13</v>
      </c>
      <c r="I23" s="80">
        <f>'Прил 7'!J57</f>
        <v>1610553.57</v>
      </c>
      <c r="J23" s="80">
        <f>'Прил 7'!K57</f>
        <v>1629223.86</v>
      </c>
    </row>
    <row r="24" spans="1:10" ht="31.5" x14ac:dyDescent="0.25">
      <c r="A24" s="78" t="s">
        <v>175</v>
      </c>
      <c r="B24" s="79" t="s">
        <v>65</v>
      </c>
      <c r="C24" s="35" t="s">
        <v>70</v>
      </c>
      <c r="D24" s="79" t="s">
        <v>68</v>
      </c>
      <c r="E24" s="79">
        <v>29270</v>
      </c>
      <c r="F24" s="62">
        <v>240</v>
      </c>
      <c r="G24" s="34">
        <v>1</v>
      </c>
      <c r="H24" s="34">
        <v>13</v>
      </c>
      <c r="I24" s="80">
        <f>'Прил 7'!J59</f>
        <v>200000</v>
      </c>
      <c r="J24" s="80">
        <f>'Прил 7'!K59</f>
        <v>200000</v>
      </c>
    </row>
    <row r="25" spans="1:10" x14ac:dyDescent="0.25">
      <c r="A25" s="78" t="s">
        <v>177</v>
      </c>
      <c r="B25" s="79" t="s">
        <v>65</v>
      </c>
      <c r="C25" s="35" t="s">
        <v>70</v>
      </c>
      <c r="D25" s="79" t="s">
        <v>68</v>
      </c>
      <c r="E25" s="79">
        <v>29290</v>
      </c>
      <c r="F25" s="62">
        <v>240</v>
      </c>
      <c r="G25" s="34">
        <v>1</v>
      </c>
      <c r="H25" s="34">
        <v>13</v>
      </c>
      <c r="I25" s="80">
        <f>'Прил 7'!J61</f>
        <v>239130.74</v>
      </c>
      <c r="J25" s="80">
        <f>'Прил 7'!K61</f>
        <v>243913.36</v>
      </c>
    </row>
    <row r="26" spans="1:10" ht="47.25" x14ac:dyDescent="0.25">
      <c r="A26" s="78" t="s">
        <v>344</v>
      </c>
      <c r="B26" s="79" t="s">
        <v>65</v>
      </c>
      <c r="C26" s="35">
        <v>2</v>
      </c>
      <c r="D26" s="79" t="s">
        <v>68</v>
      </c>
      <c r="E26" s="79" t="s">
        <v>69</v>
      </c>
      <c r="F26" s="62"/>
      <c r="G26" s="34"/>
      <c r="H26" s="34"/>
      <c r="I26" s="80">
        <f>I27</f>
        <v>220000</v>
      </c>
      <c r="J26" s="80">
        <f>J27</f>
        <v>220000</v>
      </c>
    </row>
    <row r="27" spans="1:10" ht="31.5" x14ac:dyDescent="0.25">
      <c r="A27" s="78" t="s">
        <v>180</v>
      </c>
      <c r="B27" s="79" t="s">
        <v>65</v>
      </c>
      <c r="C27" s="35">
        <v>2</v>
      </c>
      <c r="D27" s="79" t="s">
        <v>68</v>
      </c>
      <c r="E27" s="79">
        <v>29070</v>
      </c>
      <c r="F27" s="62">
        <v>240</v>
      </c>
      <c r="G27" s="34">
        <v>1</v>
      </c>
      <c r="H27" s="34">
        <v>13</v>
      </c>
      <c r="I27" s="80">
        <f>'Прил 7'!J64</f>
        <v>220000</v>
      </c>
      <c r="J27" s="80">
        <f>'Прил 7'!K64</f>
        <v>220000</v>
      </c>
    </row>
    <row r="28" spans="1:10" ht="110.25" x14ac:dyDescent="0.25">
      <c r="A28" s="78" t="s">
        <v>212</v>
      </c>
      <c r="B28" s="79" t="s">
        <v>66</v>
      </c>
      <c r="C28" s="35" t="s">
        <v>67</v>
      </c>
      <c r="D28" s="79" t="s">
        <v>68</v>
      </c>
      <c r="E28" s="79" t="s">
        <v>69</v>
      </c>
      <c r="F28" s="62" t="s">
        <v>333</v>
      </c>
      <c r="G28" s="34" t="s">
        <v>333</v>
      </c>
      <c r="H28" s="34" t="s">
        <v>333</v>
      </c>
      <c r="I28" s="80">
        <f>I29+I33+I35+I37</f>
        <v>637878.6</v>
      </c>
      <c r="J28" s="80">
        <f>J29+J33+J35+J37</f>
        <v>630978.6</v>
      </c>
    </row>
    <row r="29" spans="1:10" ht="31.5" x14ac:dyDescent="0.25">
      <c r="A29" s="78" t="s">
        <v>345</v>
      </c>
      <c r="B29" s="79" t="s">
        <v>66</v>
      </c>
      <c r="C29" s="35" t="s">
        <v>70</v>
      </c>
      <c r="D29" s="79" t="s">
        <v>68</v>
      </c>
      <c r="E29" s="79" t="s">
        <v>69</v>
      </c>
      <c r="F29" s="62" t="s">
        <v>333</v>
      </c>
      <c r="G29" s="34" t="s">
        <v>333</v>
      </c>
      <c r="H29" s="34" t="s">
        <v>333</v>
      </c>
      <c r="I29" s="80">
        <f>SUM(I30:I32)</f>
        <v>180000</v>
      </c>
      <c r="J29" s="80">
        <f>SUM(J30:J32)</f>
        <v>180000</v>
      </c>
    </row>
    <row r="30" spans="1:10" ht="31.5" x14ac:dyDescent="0.25">
      <c r="A30" s="78" t="s">
        <v>214</v>
      </c>
      <c r="B30" s="79" t="s">
        <v>66</v>
      </c>
      <c r="C30" s="35">
        <v>1</v>
      </c>
      <c r="D30" s="79" t="s">
        <v>68</v>
      </c>
      <c r="E30" s="79">
        <v>29080</v>
      </c>
      <c r="F30" s="62">
        <v>240</v>
      </c>
      <c r="G30" s="34">
        <v>3</v>
      </c>
      <c r="H30" s="34">
        <v>9</v>
      </c>
      <c r="I30" s="80">
        <f>'Прил 7'!J122</f>
        <v>70000</v>
      </c>
      <c r="J30" s="80">
        <f>'Прил 7'!K122</f>
        <v>70000</v>
      </c>
    </row>
    <row r="31" spans="1:10" ht="31.5" x14ac:dyDescent="0.25">
      <c r="A31" s="78" t="s">
        <v>417</v>
      </c>
      <c r="B31" s="79" t="s">
        <v>66</v>
      </c>
      <c r="C31" s="35">
        <v>1</v>
      </c>
      <c r="D31" s="79" t="s">
        <v>68</v>
      </c>
      <c r="E31" s="79">
        <v>29560</v>
      </c>
      <c r="F31" s="62">
        <v>240</v>
      </c>
      <c r="G31" s="34">
        <v>3</v>
      </c>
      <c r="H31" s="34">
        <v>9</v>
      </c>
      <c r="I31" s="80">
        <f>'Прил 7'!J124</f>
        <v>10000</v>
      </c>
      <c r="J31" s="80">
        <f>'Прил 7'!K124</f>
        <v>10000</v>
      </c>
    </row>
    <row r="32" spans="1:10" x14ac:dyDescent="0.25">
      <c r="A32" s="78" t="s">
        <v>217</v>
      </c>
      <c r="B32" s="79" t="s">
        <v>66</v>
      </c>
      <c r="C32" s="35">
        <v>1</v>
      </c>
      <c r="D32" s="79" t="s">
        <v>68</v>
      </c>
      <c r="E32" s="79">
        <v>29580</v>
      </c>
      <c r="F32" s="62">
        <v>240</v>
      </c>
      <c r="G32" s="34">
        <v>3</v>
      </c>
      <c r="H32" s="34">
        <v>9</v>
      </c>
      <c r="I32" s="80">
        <f>'Прил 7'!J126</f>
        <v>100000</v>
      </c>
      <c r="J32" s="80">
        <f>'Прил 7'!K126</f>
        <v>100000</v>
      </c>
    </row>
    <row r="33" spans="1:10" ht="63" x14ac:dyDescent="0.25">
      <c r="A33" s="78" t="s">
        <v>346</v>
      </c>
      <c r="B33" s="79" t="s">
        <v>66</v>
      </c>
      <c r="C33" s="35">
        <v>2</v>
      </c>
      <c r="D33" s="79" t="s">
        <v>68</v>
      </c>
      <c r="E33" s="79" t="s">
        <v>69</v>
      </c>
      <c r="F33" s="62"/>
      <c r="G33" s="34"/>
      <c r="H33" s="34"/>
      <c r="I33" s="80">
        <f>I34</f>
        <v>5000</v>
      </c>
      <c r="J33" s="80">
        <f>J34</f>
        <v>5000</v>
      </c>
    </row>
    <row r="34" spans="1:10" ht="31.5" x14ac:dyDescent="0.25">
      <c r="A34" s="78" t="s">
        <v>220</v>
      </c>
      <c r="B34" s="79" t="s">
        <v>66</v>
      </c>
      <c r="C34" s="35">
        <v>2</v>
      </c>
      <c r="D34" s="79" t="s">
        <v>68</v>
      </c>
      <c r="E34" s="79">
        <v>29030</v>
      </c>
      <c r="F34" s="62">
        <v>240</v>
      </c>
      <c r="G34" s="34">
        <v>3</v>
      </c>
      <c r="H34" s="34">
        <v>10</v>
      </c>
      <c r="I34" s="80">
        <f>'Прил 7'!J131</f>
        <v>5000</v>
      </c>
      <c r="J34" s="80">
        <f>'Прил 7'!K131</f>
        <v>5000</v>
      </c>
    </row>
    <row r="35" spans="1:10" ht="78.75" x14ac:dyDescent="0.25">
      <c r="A35" s="78" t="s">
        <v>347</v>
      </c>
      <c r="B35" s="79" t="s">
        <v>66</v>
      </c>
      <c r="C35" s="35">
        <v>3</v>
      </c>
      <c r="D35" s="79" t="s">
        <v>68</v>
      </c>
      <c r="E35" s="79" t="s">
        <v>69</v>
      </c>
      <c r="F35" s="62"/>
      <c r="G35" s="34"/>
      <c r="H35" s="34"/>
      <c r="I35" s="80">
        <f>SUM(I36:I36)</f>
        <v>352878.6</v>
      </c>
      <c r="J35" s="80">
        <f>SUM(J36:J36)</f>
        <v>345978.6</v>
      </c>
    </row>
    <row r="36" spans="1:10" ht="47.25" x14ac:dyDescent="0.25">
      <c r="A36" s="78" t="s">
        <v>223</v>
      </c>
      <c r="B36" s="79" t="s">
        <v>66</v>
      </c>
      <c r="C36" s="35">
        <v>3</v>
      </c>
      <c r="D36" s="79" t="s">
        <v>68</v>
      </c>
      <c r="E36" s="79">
        <v>29520</v>
      </c>
      <c r="F36" s="62">
        <v>240</v>
      </c>
      <c r="G36" s="34">
        <v>3</v>
      </c>
      <c r="H36" s="34">
        <v>10</v>
      </c>
      <c r="I36" s="80">
        <f>'Прил 7'!J134</f>
        <v>352878.6</v>
      </c>
      <c r="J36" s="80">
        <f>'Прил 7'!K134</f>
        <v>345978.6</v>
      </c>
    </row>
    <row r="37" spans="1:10" ht="31.5" x14ac:dyDescent="0.25">
      <c r="A37" s="78" t="s">
        <v>348</v>
      </c>
      <c r="B37" s="79" t="s">
        <v>66</v>
      </c>
      <c r="C37" s="35">
        <v>4</v>
      </c>
      <c r="D37" s="79" t="s">
        <v>68</v>
      </c>
      <c r="E37" s="79" t="s">
        <v>69</v>
      </c>
      <c r="F37" s="62"/>
      <c r="G37" s="34"/>
      <c r="H37" s="34"/>
      <c r="I37" s="80">
        <f>SUM(I38:I38)</f>
        <v>100000</v>
      </c>
      <c r="J37" s="80">
        <f>SUM(J38:J38)</f>
        <v>100000</v>
      </c>
    </row>
    <row r="38" spans="1:10" x14ac:dyDescent="0.25">
      <c r="A38" s="78" t="s">
        <v>228</v>
      </c>
      <c r="B38" s="79" t="s">
        <v>66</v>
      </c>
      <c r="C38" s="35">
        <v>4</v>
      </c>
      <c r="D38" s="79" t="s">
        <v>68</v>
      </c>
      <c r="E38" s="79">
        <v>29530</v>
      </c>
      <c r="F38" s="62">
        <v>240</v>
      </c>
      <c r="G38" s="34">
        <v>3</v>
      </c>
      <c r="H38" s="34">
        <v>10</v>
      </c>
      <c r="I38" s="80">
        <f>'Прил 7'!J137</f>
        <v>100000</v>
      </c>
      <c r="J38" s="80">
        <f>'Прил 7'!K137</f>
        <v>100000</v>
      </c>
    </row>
    <row r="39" spans="1:10" ht="47.25" x14ac:dyDescent="0.25">
      <c r="A39" s="78" t="s">
        <v>230</v>
      </c>
      <c r="B39" s="79" t="s">
        <v>72</v>
      </c>
      <c r="C39" s="35" t="s">
        <v>67</v>
      </c>
      <c r="D39" s="79" t="s">
        <v>68</v>
      </c>
      <c r="E39" s="79" t="s">
        <v>69</v>
      </c>
      <c r="F39" s="62" t="s">
        <v>333</v>
      </c>
      <c r="G39" s="34" t="s">
        <v>333</v>
      </c>
      <c r="H39" s="34" t="s">
        <v>333</v>
      </c>
      <c r="I39" s="80">
        <f>I40+I47+I51+I60</f>
        <v>97035600.859999999</v>
      </c>
      <c r="J39" s="80">
        <f>J40+J47+J51+J60</f>
        <v>99301392.99000001</v>
      </c>
    </row>
    <row r="40" spans="1:10" ht="63" x14ac:dyDescent="0.25">
      <c r="A40" s="78" t="s">
        <v>349</v>
      </c>
      <c r="B40" s="79" t="s">
        <v>72</v>
      </c>
      <c r="C40" s="35" t="s">
        <v>70</v>
      </c>
      <c r="D40" s="79" t="s">
        <v>68</v>
      </c>
      <c r="E40" s="79" t="s">
        <v>69</v>
      </c>
      <c r="F40" s="62" t="s">
        <v>333</v>
      </c>
      <c r="G40" s="34" t="s">
        <v>333</v>
      </c>
      <c r="H40" s="34" t="s">
        <v>333</v>
      </c>
      <c r="I40" s="80">
        <f>SUM(I41:I46)</f>
        <v>31782268.799999997</v>
      </c>
      <c r="J40" s="80">
        <f>SUM(J41:J46)</f>
        <v>31827495.420000002</v>
      </c>
    </row>
    <row r="41" spans="1:10" x14ac:dyDescent="0.25">
      <c r="A41" s="78" t="s">
        <v>232</v>
      </c>
      <c r="B41" s="79" t="s">
        <v>72</v>
      </c>
      <c r="C41" s="35">
        <v>1</v>
      </c>
      <c r="D41" s="79" t="s">
        <v>68</v>
      </c>
      <c r="E41" s="79">
        <v>29100</v>
      </c>
      <c r="F41" s="62">
        <v>240</v>
      </c>
      <c r="G41" s="34">
        <v>4</v>
      </c>
      <c r="H41" s="34">
        <v>9</v>
      </c>
      <c r="I41" s="80">
        <f>'Прил 7'!J149</f>
        <v>20869004.309999999</v>
      </c>
      <c r="J41" s="80">
        <f>'Прил 7'!K149</f>
        <v>20479700.280000001</v>
      </c>
    </row>
    <row r="42" spans="1:10" hidden="1" x14ac:dyDescent="0.25">
      <c r="A42" s="78" t="s">
        <v>234</v>
      </c>
      <c r="B42" s="79" t="s">
        <v>72</v>
      </c>
      <c r="C42" s="35">
        <v>1</v>
      </c>
      <c r="D42" s="79" t="s">
        <v>68</v>
      </c>
      <c r="E42" s="79">
        <v>29110</v>
      </c>
      <c r="F42" s="62">
        <v>240</v>
      </c>
      <c r="G42" s="34">
        <v>4</v>
      </c>
      <c r="H42" s="34">
        <v>9</v>
      </c>
      <c r="I42" s="80"/>
      <c r="J42" s="80"/>
    </row>
    <row r="43" spans="1:10" s="196" customFormat="1" hidden="1" x14ac:dyDescent="0.25">
      <c r="A43" s="194" t="s">
        <v>236</v>
      </c>
      <c r="B43" s="195" t="s">
        <v>72</v>
      </c>
      <c r="C43" s="35">
        <v>1</v>
      </c>
      <c r="D43" s="79" t="s">
        <v>68</v>
      </c>
      <c r="E43" s="79" t="s">
        <v>237</v>
      </c>
      <c r="F43" s="62">
        <v>240</v>
      </c>
      <c r="G43" s="34">
        <v>4</v>
      </c>
      <c r="H43" s="34">
        <v>9</v>
      </c>
      <c r="I43" s="80"/>
      <c r="J43" s="80"/>
    </row>
    <row r="44" spans="1:10" ht="31.5" x14ac:dyDescent="0.25">
      <c r="A44" s="78" t="s">
        <v>238</v>
      </c>
      <c r="B44" s="79" t="s">
        <v>72</v>
      </c>
      <c r="C44" s="35">
        <v>1</v>
      </c>
      <c r="D44" s="79" t="s">
        <v>68</v>
      </c>
      <c r="E44" s="79">
        <v>29130</v>
      </c>
      <c r="F44" s="62">
        <v>240</v>
      </c>
      <c r="G44" s="34">
        <v>4</v>
      </c>
      <c r="H44" s="34">
        <v>9</v>
      </c>
      <c r="I44" s="80">
        <f>'Прил 7'!J155</f>
        <v>50000</v>
      </c>
      <c r="J44" s="80">
        <f>'Прил 7'!K155</f>
        <v>50000</v>
      </c>
    </row>
    <row r="45" spans="1:10" x14ac:dyDescent="0.25">
      <c r="A45" s="78" t="s">
        <v>240</v>
      </c>
      <c r="B45" s="79" t="s">
        <v>72</v>
      </c>
      <c r="C45" s="35">
        <v>1</v>
      </c>
      <c r="D45" s="79" t="s">
        <v>68</v>
      </c>
      <c r="E45" s="79">
        <v>29330</v>
      </c>
      <c r="F45" s="62">
        <v>240</v>
      </c>
      <c r="G45" s="34">
        <v>4</v>
      </c>
      <c r="H45" s="34">
        <v>9</v>
      </c>
      <c r="I45" s="80">
        <f>'Прил 7'!J157</f>
        <v>7748461.4800000004</v>
      </c>
      <c r="J45" s="80">
        <f>'Прил 7'!K157</f>
        <v>8058400</v>
      </c>
    </row>
    <row r="46" spans="1:10" ht="31.5" x14ac:dyDescent="0.25">
      <c r="A46" s="78" t="s">
        <v>244</v>
      </c>
      <c r="B46" s="79" t="s">
        <v>72</v>
      </c>
      <c r="C46" s="35">
        <v>1</v>
      </c>
      <c r="D46" s="79" t="s">
        <v>68</v>
      </c>
      <c r="E46" s="79">
        <v>29590</v>
      </c>
      <c r="F46" s="62">
        <v>240</v>
      </c>
      <c r="G46" s="34">
        <v>4</v>
      </c>
      <c r="H46" s="34">
        <v>9</v>
      </c>
      <c r="I46" s="80">
        <f>'Прил 7'!J159</f>
        <v>3114803.01</v>
      </c>
      <c r="J46" s="80">
        <f>'Прил 7'!K159</f>
        <v>3239395.14</v>
      </c>
    </row>
    <row r="47" spans="1:10" ht="31.5" x14ac:dyDescent="0.25">
      <c r="A47" s="78" t="s">
        <v>350</v>
      </c>
      <c r="B47" s="79" t="s">
        <v>72</v>
      </c>
      <c r="C47" s="35">
        <v>2</v>
      </c>
      <c r="D47" s="79" t="s">
        <v>68</v>
      </c>
      <c r="E47" s="79" t="s">
        <v>69</v>
      </c>
      <c r="F47" s="62"/>
      <c r="G47" s="34"/>
      <c r="H47" s="34"/>
      <c r="I47" s="80">
        <f>SUM(I48:I50)</f>
        <v>9428078.8399999999</v>
      </c>
      <c r="J47" s="80">
        <f>SUM(J48:J50)</f>
        <v>9539500.0300000012</v>
      </c>
    </row>
    <row r="48" spans="1:10" hidden="1" x14ac:dyDescent="0.25">
      <c r="A48" s="36" t="s">
        <v>262</v>
      </c>
      <c r="B48" s="79" t="s">
        <v>72</v>
      </c>
      <c r="C48" s="35">
        <v>2</v>
      </c>
      <c r="D48" s="79" t="s">
        <v>68</v>
      </c>
      <c r="E48" s="79" t="s">
        <v>255</v>
      </c>
      <c r="F48" s="62">
        <v>240</v>
      </c>
      <c r="G48" s="34">
        <v>5</v>
      </c>
      <c r="H48" s="34">
        <v>3</v>
      </c>
      <c r="I48" s="80"/>
      <c r="J48" s="80"/>
    </row>
    <row r="49" spans="1:10" ht="31.5" x14ac:dyDescent="0.25">
      <c r="A49" s="78" t="s">
        <v>263</v>
      </c>
      <c r="B49" s="79" t="s">
        <v>72</v>
      </c>
      <c r="C49" s="79" t="s">
        <v>73</v>
      </c>
      <c r="D49" s="79" t="s">
        <v>68</v>
      </c>
      <c r="E49" s="79" t="s">
        <v>264</v>
      </c>
      <c r="F49" s="79" t="s">
        <v>76</v>
      </c>
      <c r="G49" s="79" t="s">
        <v>84</v>
      </c>
      <c r="H49" s="79" t="s">
        <v>72</v>
      </c>
      <c r="I49" s="80">
        <f>'Прил 7'!J188</f>
        <v>7428078.8399999999</v>
      </c>
      <c r="J49" s="80">
        <f>'Прил 7'!K188</f>
        <v>7539500.0300000003</v>
      </c>
    </row>
    <row r="50" spans="1:10" x14ac:dyDescent="0.25">
      <c r="A50" s="78" t="s">
        <v>265</v>
      </c>
      <c r="B50" s="79" t="s">
        <v>72</v>
      </c>
      <c r="C50" s="79" t="s">
        <v>73</v>
      </c>
      <c r="D50" s="79" t="s">
        <v>68</v>
      </c>
      <c r="E50" s="79" t="s">
        <v>266</v>
      </c>
      <c r="F50" s="79" t="s">
        <v>76</v>
      </c>
      <c r="G50" s="79" t="s">
        <v>84</v>
      </c>
      <c r="H50" s="79" t="s">
        <v>72</v>
      </c>
      <c r="I50" s="80">
        <f>'Прил 7'!J190</f>
        <v>2000000</v>
      </c>
      <c r="J50" s="80">
        <f>'Прил 7'!K190</f>
        <v>2000000</v>
      </c>
    </row>
    <row r="51" spans="1:10" ht="47.25" x14ac:dyDescent="0.25">
      <c r="A51" s="78" t="s">
        <v>351</v>
      </c>
      <c r="B51" s="79" t="s">
        <v>72</v>
      </c>
      <c r="C51" s="35">
        <v>3</v>
      </c>
      <c r="D51" s="79" t="s">
        <v>68</v>
      </c>
      <c r="E51" s="79" t="s">
        <v>69</v>
      </c>
      <c r="F51" s="62"/>
      <c r="G51" s="34"/>
      <c r="H51" s="34"/>
      <c r="I51" s="80">
        <f>SUM(I52:I59)</f>
        <v>30464470.470000003</v>
      </c>
      <c r="J51" s="80">
        <f>SUM(J52:J59)</f>
        <v>31718836.279999997</v>
      </c>
    </row>
    <row r="52" spans="1:10" x14ac:dyDescent="0.25">
      <c r="A52" s="78" t="s">
        <v>268</v>
      </c>
      <c r="B52" s="79" t="s">
        <v>72</v>
      </c>
      <c r="C52" s="79" t="s">
        <v>74</v>
      </c>
      <c r="D52" s="79" t="s">
        <v>68</v>
      </c>
      <c r="E52" s="79" t="s">
        <v>269</v>
      </c>
      <c r="F52" s="79" t="s">
        <v>76</v>
      </c>
      <c r="G52" s="79" t="s">
        <v>84</v>
      </c>
      <c r="H52" s="79" t="s">
        <v>72</v>
      </c>
      <c r="I52" s="80">
        <f>'Прил 7'!J193</f>
        <v>520000</v>
      </c>
      <c r="J52" s="80">
        <f>'Прил 7'!K193</f>
        <v>520000</v>
      </c>
    </row>
    <row r="53" spans="1:10" x14ac:dyDescent="0.25">
      <c r="A53" s="78" t="s">
        <v>270</v>
      </c>
      <c r="B53" s="79" t="s">
        <v>72</v>
      </c>
      <c r="C53" s="79" t="s">
        <v>74</v>
      </c>
      <c r="D53" s="79" t="s">
        <v>68</v>
      </c>
      <c r="E53" s="79" t="s">
        <v>271</v>
      </c>
      <c r="F53" s="79" t="s">
        <v>76</v>
      </c>
      <c r="G53" s="79" t="s">
        <v>84</v>
      </c>
      <c r="H53" s="79" t="s">
        <v>72</v>
      </c>
      <c r="I53" s="80">
        <f>'Прил 7'!J195</f>
        <v>600000</v>
      </c>
      <c r="J53" s="80">
        <f>'Прил 7'!K195</f>
        <v>600000</v>
      </c>
    </row>
    <row r="54" spans="1:10" x14ac:dyDescent="0.25">
      <c r="A54" s="78" t="s">
        <v>272</v>
      </c>
      <c r="B54" s="79" t="s">
        <v>72</v>
      </c>
      <c r="C54" s="79" t="s">
        <v>74</v>
      </c>
      <c r="D54" s="79" t="s">
        <v>68</v>
      </c>
      <c r="E54" s="79" t="s">
        <v>352</v>
      </c>
      <c r="F54" s="79" t="s">
        <v>76</v>
      </c>
      <c r="G54" s="79" t="s">
        <v>84</v>
      </c>
      <c r="H54" s="79" t="s">
        <v>72</v>
      </c>
      <c r="I54" s="80">
        <f>'Прил 7'!J197</f>
        <v>2629545.98</v>
      </c>
      <c r="J54" s="80">
        <f>'Прил 7'!K197</f>
        <v>2682136.9</v>
      </c>
    </row>
    <row r="55" spans="1:10" x14ac:dyDescent="0.25">
      <c r="A55" s="78" t="s">
        <v>273</v>
      </c>
      <c r="B55" s="79" t="s">
        <v>72</v>
      </c>
      <c r="C55" s="79" t="s">
        <v>74</v>
      </c>
      <c r="D55" s="79" t="s">
        <v>68</v>
      </c>
      <c r="E55" s="79" t="s">
        <v>274</v>
      </c>
      <c r="F55" s="79" t="s">
        <v>76</v>
      </c>
      <c r="G55" s="79" t="s">
        <v>84</v>
      </c>
      <c r="H55" s="79" t="s">
        <v>72</v>
      </c>
      <c r="I55" s="80">
        <f>'Прил 7'!J199</f>
        <v>14342640.890000001</v>
      </c>
      <c r="J55" s="80">
        <f>'Прил 7'!K199</f>
        <v>15834666.18</v>
      </c>
    </row>
    <row r="56" spans="1:10" x14ac:dyDescent="0.25">
      <c r="A56" s="78" t="s">
        <v>275</v>
      </c>
      <c r="B56" s="79" t="s">
        <v>72</v>
      </c>
      <c r="C56" s="79" t="s">
        <v>74</v>
      </c>
      <c r="D56" s="79" t="s">
        <v>68</v>
      </c>
      <c r="E56" s="79" t="s">
        <v>353</v>
      </c>
      <c r="F56" s="79" t="s">
        <v>76</v>
      </c>
      <c r="G56" s="79" t="s">
        <v>84</v>
      </c>
      <c r="H56" s="79" t="s">
        <v>72</v>
      </c>
      <c r="I56" s="80">
        <f>'Прил 7'!J201</f>
        <v>2372283.6</v>
      </c>
      <c r="J56" s="80">
        <f>'Прил 7'!K201</f>
        <v>2082033.2000000002</v>
      </c>
    </row>
    <row r="57" spans="1:10" x14ac:dyDescent="0.25">
      <c r="A57" s="78" t="s">
        <v>276</v>
      </c>
      <c r="B57" s="79" t="s">
        <v>72</v>
      </c>
      <c r="C57" s="79" t="s">
        <v>74</v>
      </c>
      <c r="D57" s="79" t="s">
        <v>68</v>
      </c>
      <c r="E57" s="79" t="s">
        <v>277</v>
      </c>
      <c r="F57" s="79" t="s">
        <v>76</v>
      </c>
      <c r="G57" s="79" t="s">
        <v>84</v>
      </c>
      <c r="H57" s="79" t="s">
        <v>72</v>
      </c>
      <c r="I57" s="80">
        <f>'Прил 7'!J203</f>
        <v>9000000</v>
      </c>
      <c r="J57" s="80">
        <f>'Прил 7'!K203</f>
        <v>9000000</v>
      </c>
    </row>
    <row r="58" spans="1:10" ht="31.5" hidden="1" x14ac:dyDescent="0.25">
      <c r="A58" s="78" t="s">
        <v>278</v>
      </c>
      <c r="B58" s="79" t="s">
        <v>72</v>
      </c>
      <c r="C58" s="79" t="s">
        <v>74</v>
      </c>
      <c r="D58" s="79" t="s">
        <v>68</v>
      </c>
      <c r="E58" s="79" t="s">
        <v>279</v>
      </c>
      <c r="F58" s="79" t="s">
        <v>76</v>
      </c>
      <c r="G58" s="79" t="s">
        <v>84</v>
      </c>
      <c r="H58" s="79" t="s">
        <v>72</v>
      </c>
      <c r="I58" s="80"/>
      <c r="J58" s="80"/>
    </row>
    <row r="59" spans="1:10" x14ac:dyDescent="0.25">
      <c r="A59" s="78" t="s">
        <v>280</v>
      </c>
      <c r="B59" s="79" t="s">
        <v>72</v>
      </c>
      <c r="C59" s="79" t="s">
        <v>74</v>
      </c>
      <c r="D59" s="79" t="s">
        <v>68</v>
      </c>
      <c r="E59" s="79" t="s">
        <v>281</v>
      </c>
      <c r="F59" s="79" t="s">
        <v>76</v>
      </c>
      <c r="G59" s="79" t="s">
        <v>84</v>
      </c>
      <c r="H59" s="79" t="s">
        <v>72</v>
      </c>
      <c r="I59" s="80">
        <f>'Прил 7'!J207</f>
        <v>1000000</v>
      </c>
      <c r="J59" s="80">
        <f>'Прил 7'!K207</f>
        <v>1000000</v>
      </c>
    </row>
    <row r="60" spans="1:10" ht="31.5" x14ac:dyDescent="0.25">
      <c r="A60" s="78" t="s">
        <v>354</v>
      </c>
      <c r="B60" s="79" t="s">
        <v>72</v>
      </c>
      <c r="C60" s="35">
        <v>4</v>
      </c>
      <c r="D60" s="79" t="s">
        <v>68</v>
      </c>
      <c r="E60" s="79" t="s">
        <v>69</v>
      </c>
      <c r="F60" s="62"/>
      <c r="G60" s="34"/>
      <c r="H60" s="34"/>
      <c r="I60" s="80">
        <f>SUM(I61:I63)</f>
        <v>25360782.75</v>
      </c>
      <c r="J60" s="80">
        <f>SUM(J61:J63)</f>
        <v>26215561.259999998</v>
      </c>
    </row>
    <row r="61" spans="1:10" ht="31.5" x14ac:dyDescent="0.25">
      <c r="A61" s="78" t="s">
        <v>291</v>
      </c>
      <c r="B61" s="79" t="s">
        <v>72</v>
      </c>
      <c r="C61" s="79" t="s">
        <v>79</v>
      </c>
      <c r="D61" s="79" t="s">
        <v>68</v>
      </c>
      <c r="E61" s="79" t="s">
        <v>292</v>
      </c>
      <c r="F61" s="79" t="s">
        <v>100</v>
      </c>
      <c r="G61" s="79" t="s">
        <v>84</v>
      </c>
      <c r="H61" s="79" t="s">
        <v>84</v>
      </c>
      <c r="I61" s="80">
        <f>'Прил 7'!J227</f>
        <v>19584161.530000001</v>
      </c>
      <c r="J61" s="80">
        <f>'Прил 7'!K227</f>
        <v>20367539.989999998</v>
      </c>
    </row>
    <row r="62" spans="1:10" ht="31.5" x14ac:dyDescent="0.25">
      <c r="A62" s="78" t="s">
        <v>291</v>
      </c>
      <c r="B62" s="79" t="s">
        <v>72</v>
      </c>
      <c r="C62" s="79" t="s">
        <v>79</v>
      </c>
      <c r="D62" s="79" t="s">
        <v>68</v>
      </c>
      <c r="E62" s="79" t="s">
        <v>292</v>
      </c>
      <c r="F62" s="79" t="s">
        <v>76</v>
      </c>
      <c r="G62" s="79" t="s">
        <v>84</v>
      </c>
      <c r="H62" s="79" t="s">
        <v>84</v>
      </c>
      <c r="I62" s="80">
        <f>'Прил 7'!J228</f>
        <v>5726621.2199999997</v>
      </c>
      <c r="J62" s="80">
        <f>'Прил 7'!K228</f>
        <v>5798021.2699999996</v>
      </c>
    </row>
    <row r="63" spans="1:10" ht="31.5" x14ac:dyDescent="0.25">
      <c r="A63" s="78" t="s">
        <v>291</v>
      </c>
      <c r="B63" s="79" t="s">
        <v>72</v>
      </c>
      <c r="C63" s="79" t="s">
        <v>79</v>
      </c>
      <c r="D63" s="79" t="s">
        <v>68</v>
      </c>
      <c r="E63" s="79" t="s">
        <v>292</v>
      </c>
      <c r="F63" s="79" t="s">
        <v>78</v>
      </c>
      <c r="G63" s="79" t="s">
        <v>84</v>
      </c>
      <c r="H63" s="79" t="s">
        <v>84</v>
      </c>
      <c r="I63" s="80">
        <f>'Прил 7'!J229</f>
        <v>50000</v>
      </c>
      <c r="J63" s="80">
        <f>'Прил 7'!K229</f>
        <v>50000</v>
      </c>
    </row>
    <row r="64" spans="1:10" ht="63" x14ac:dyDescent="0.25">
      <c r="A64" s="78" t="s">
        <v>247</v>
      </c>
      <c r="B64" s="79" t="s">
        <v>83</v>
      </c>
      <c r="C64" s="35" t="s">
        <v>67</v>
      </c>
      <c r="D64" s="79" t="s">
        <v>68</v>
      </c>
      <c r="E64" s="79" t="s">
        <v>69</v>
      </c>
      <c r="F64" s="62" t="s">
        <v>333</v>
      </c>
      <c r="G64" s="34" t="s">
        <v>333</v>
      </c>
      <c r="H64" s="34" t="s">
        <v>333</v>
      </c>
      <c r="I64" s="80">
        <f>SUM(I65:I65)</f>
        <v>30000</v>
      </c>
      <c r="J64" s="80">
        <f>SUM(J65:J65)</f>
        <v>30000</v>
      </c>
    </row>
    <row r="65" spans="1:10" x14ac:dyDescent="0.25">
      <c r="A65" s="78" t="s">
        <v>249</v>
      </c>
      <c r="B65" s="79" t="s">
        <v>83</v>
      </c>
      <c r="C65" s="35">
        <v>0</v>
      </c>
      <c r="D65" s="79" t="s">
        <v>68</v>
      </c>
      <c r="E65" s="79">
        <v>29910</v>
      </c>
      <c r="F65" s="62">
        <v>810</v>
      </c>
      <c r="G65" s="34">
        <v>4</v>
      </c>
      <c r="H65" s="34">
        <v>12</v>
      </c>
      <c r="I65" s="80">
        <f>'Прил 7'!J168</f>
        <v>30000</v>
      </c>
      <c r="J65" s="80">
        <f>'Прил 7'!K168</f>
        <v>30000</v>
      </c>
    </row>
    <row r="66" spans="1:10" ht="63" x14ac:dyDescent="0.25">
      <c r="A66" s="78" t="s">
        <v>251</v>
      </c>
      <c r="B66" s="79" t="s">
        <v>84</v>
      </c>
      <c r="C66" s="35" t="s">
        <v>67</v>
      </c>
      <c r="D66" s="79" t="s">
        <v>68</v>
      </c>
      <c r="E66" s="79" t="s">
        <v>69</v>
      </c>
      <c r="F66" s="62" t="s">
        <v>333</v>
      </c>
      <c r="G66" s="34" t="s">
        <v>333</v>
      </c>
      <c r="H66" s="34" t="s">
        <v>333</v>
      </c>
      <c r="I66" s="80">
        <f>I67</f>
        <v>50000</v>
      </c>
      <c r="J66" s="80">
        <f>J67</f>
        <v>50000</v>
      </c>
    </row>
    <row r="67" spans="1:10" ht="31.5" x14ac:dyDescent="0.25">
      <c r="A67" s="78" t="s">
        <v>355</v>
      </c>
      <c r="B67" s="79" t="s">
        <v>84</v>
      </c>
      <c r="C67" s="35" t="s">
        <v>70</v>
      </c>
      <c r="D67" s="79" t="s">
        <v>68</v>
      </c>
      <c r="E67" s="79" t="s">
        <v>69</v>
      </c>
      <c r="F67" s="62" t="s">
        <v>333</v>
      </c>
      <c r="G67" s="34" t="s">
        <v>333</v>
      </c>
      <c r="H67" s="34" t="s">
        <v>333</v>
      </c>
      <c r="I67" s="80">
        <f>I68</f>
        <v>50000</v>
      </c>
      <c r="J67" s="80">
        <f>J68</f>
        <v>50000</v>
      </c>
    </row>
    <row r="68" spans="1:10" x14ac:dyDescent="0.25">
      <c r="A68" s="78" t="s">
        <v>253</v>
      </c>
      <c r="B68" s="79" t="s">
        <v>84</v>
      </c>
      <c r="C68" s="35">
        <v>1</v>
      </c>
      <c r="D68" s="79" t="s">
        <v>68</v>
      </c>
      <c r="E68" s="79">
        <v>29420</v>
      </c>
      <c r="F68" s="62">
        <v>240</v>
      </c>
      <c r="G68" s="34">
        <v>5</v>
      </c>
      <c r="H68" s="34">
        <v>1</v>
      </c>
      <c r="I68" s="80">
        <f>'Прил 7'!J174</f>
        <v>50000</v>
      </c>
      <c r="J68" s="80">
        <f>'Прил 7'!K174</f>
        <v>50000</v>
      </c>
    </row>
    <row r="69" spans="1:10" ht="63" x14ac:dyDescent="0.25">
      <c r="A69" s="78" t="s">
        <v>299</v>
      </c>
      <c r="B69" s="79" t="s">
        <v>86</v>
      </c>
      <c r="C69" s="35" t="s">
        <v>67</v>
      </c>
      <c r="D69" s="79" t="s">
        <v>68</v>
      </c>
      <c r="E69" s="79" t="s">
        <v>69</v>
      </c>
      <c r="F69" s="62" t="s">
        <v>333</v>
      </c>
      <c r="G69" s="34" t="s">
        <v>333</v>
      </c>
      <c r="H69" s="34" t="s">
        <v>333</v>
      </c>
      <c r="I69" s="80">
        <f>I70+I73+I75+I79+I83</f>
        <v>30486417.710000001</v>
      </c>
      <c r="J69" s="80">
        <f>J70+J73+J75+J79+J83</f>
        <v>32436955.109999999</v>
      </c>
    </row>
    <row r="70" spans="1:10" x14ac:dyDescent="0.25">
      <c r="A70" s="78" t="s">
        <v>357</v>
      </c>
      <c r="B70" s="79" t="s">
        <v>86</v>
      </c>
      <c r="C70" s="35" t="s">
        <v>70</v>
      </c>
      <c r="D70" s="79" t="s">
        <v>68</v>
      </c>
      <c r="E70" s="79" t="s">
        <v>69</v>
      </c>
      <c r="F70" s="62" t="s">
        <v>333</v>
      </c>
      <c r="G70" s="34" t="s">
        <v>333</v>
      </c>
      <c r="H70" s="34" t="s">
        <v>333</v>
      </c>
      <c r="I70" s="80">
        <f>SUM(I71:I72)</f>
        <v>2936610</v>
      </c>
      <c r="J70" s="80">
        <f>SUM(J71:J72)</f>
        <v>3017960.4</v>
      </c>
    </row>
    <row r="71" spans="1:10" ht="31.5" x14ac:dyDescent="0.25">
      <c r="A71" s="78" t="s">
        <v>300</v>
      </c>
      <c r="B71" s="79" t="s">
        <v>86</v>
      </c>
      <c r="C71" s="35">
        <v>1</v>
      </c>
      <c r="D71" s="79" t="s">
        <v>68</v>
      </c>
      <c r="E71" s="79">
        <v>29240</v>
      </c>
      <c r="F71" s="62">
        <v>110</v>
      </c>
      <c r="G71" s="34">
        <v>7</v>
      </c>
      <c r="H71" s="34">
        <v>7</v>
      </c>
      <c r="I71" s="80">
        <f>'Прил 7'!J247</f>
        <v>99993.600000000006</v>
      </c>
      <c r="J71" s="80">
        <f>'Прил 7'!K247</f>
        <v>99993.600000000006</v>
      </c>
    </row>
    <row r="72" spans="1:10" ht="31.5" x14ac:dyDescent="0.25">
      <c r="A72" s="78" t="s">
        <v>302</v>
      </c>
      <c r="B72" s="79" t="s">
        <v>86</v>
      </c>
      <c r="C72" s="35">
        <v>1</v>
      </c>
      <c r="D72" s="79" t="s">
        <v>68</v>
      </c>
      <c r="E72" s="79" t="s">
        <v>303</v>
      </c>
      <c r="F72" s="62">
        <v>520</v>
      </c>
      <c r="G72" s="34">
        <v>7</v>
      </c>
      <c r="H72" s="34">
        <v>7</v>
      </c>
      <c r="I72" s="80">
        <f>'Прил 7'!J249</f>
        <v>2836616.4</v>
      </c>
      <c r="J72" s="80">
        <f>'Прил 7'!K249</f>
        <v>2917966.8</v>
      </c>
    </row>
    <row r="73" spans="1:10" x14ac:dyDescent="0.25">
      <c r="A73" s="78" t="s">
        <v>444</v>
      </c>
      <c r="B73" s="79" t="s">
        <v>86</v>
      </c>
      <c r="C73" s="35">
        <v>2</v>
      </c>
      <c r="D73" s="79" t="s">
        <v>68</v>
      </c>
      <c r="E73" s="79" t="s">
        <v>69</v>
      </c>
      <c r="F73" s="62" t="s">
        <v>333</v>
      </c>
      <c r="G73" s="34" t="s">
        <v>333</v>
      </c>
      <c r="H73" s="34" t="s">
        <v>333</v>
      </c>
      <c r="I73" s="80">
        <f>SUM(I74:I74)</f>
        <v>6877594.8899999997</v>
      </c>
      <c r="J73" s="80">
        <f>SUM(J74:J74)</f>
        <v>6896503.0300000003</v>
      </c>
    </row>
    <row r="74" spans="1:10" ht="31.5" x14ac:dyDescent="0.25">
      <c r="A74" s="78" t="s">
        <v>291</v>
      </c>
      <c r="B74" s="79" t="s">
        <v>86</v>
      </c>
      <c r="C74" s="35">
        <v>2</v>
      </c>
      <c r="D74" s="79" t="s">
        <v>68</v>
      </c>
      <c r="E74" s="79" t="s">
        <v>292</v>
      </c>
      <c r="F74" s="62">
        <v>620</v>
      </c>
      <c r="G74" s="34">
        <v>8</v>
      </c>
      <c r="H74" s="34">
        <v>1</v>
      </c>
      <c r="I74" s="80">
        <f>'Прил 7'!J255</f>
        <v>6877594.8899999997</v>
      </c>
      <c r="J74" s="80">
        <f>'Прил 7'!K255</f>
        <v>6896503.0300000003</v>
      </c>
    </row>
    <row r="75" spans="1:10" x14ac:dyDescent="0.25">
      <c r="A75" s="78" t="s">
        <v>358</v>
      </c>
      <c r="B75" s="79" t="s">
        <v>86</v>
      </c>
      <c r="C75" s="35">
        <v>3</v>
      </c>
      <c r="D75" s="79" t="s">
        <v>68</v>
      </c>
      <c r="E75" s="79" t="s">
        <v>69</v>
      </c>
      <c r="F75" s="62" t="s">
        <v>333</v>
      </c>
      <c r="G75" s="34" t="s">
        <v>333</v>
      </c>
      <c r="H75" s="34" t="s">
        <v>333</v>
      </c>
      <c r="I75" s="80">
        <f>SUM(I76:I78)</f>
        <v>1058400</v>
      </c>
      <c r="J75" s="80">
        <f>SUM(J76:J78)</f>
        <v>1975456</v>
      </c>
    </row>
    <row r="76" spans="1:10" x14ac:dyDescent="0.25">
      <c r="A76" s="78" t="s">
        <v>91</v>
      </c>
      <c r="B76" s="79" t="s">
        <v>86</v>
      </c>
      <c r="C76" s="35">
        <v>3</v>
      </c>
      <c r="D76" s="79" t="s">
        <v>68</v>
      </c>
      <c r="E76" s="79">
        <v>29020</v>
      </c>
      <c r="F76" s="62">
        <v>350</v>
      </c>
      <c r="G76" s="34">
        <v>8</v>
      </c>
      <c r="H76" s="34">
        <v>4</v>
      </c>
      <c r="I76" s="80">
        <f>'Прил 7'!J274</f>
        <v>100000</v>
      </c>
      <c r="J76" s="80">
        <f>'Прил 7'!K274</f>
        <v>100000</v>
      </c>
    </row>
    <row r="77" spans="1:10" x14ac:dyDescent="0.25">
      <c r="A77" s="78" t="s">
        <v>312</v>
      </c>
      <c r="B77" s="79" t="s">
        <v>86</v>
      </c>
      <c r="C77" s="35">
        <v>3</v>
      </c>
      <c r="D77" s="79" t="s">
        <v>68</v>
      </c>
      <c r="E77" s="79">
        <v>29250</v>
      </c>
      <c r="F77" s="62">
        <v>240</v>
      </c>
      <c r="G77" s="34">
        <v>8</v>
      </c>
      <c r="H77" s="34">
        <v>4</v>
      </c>
      <c r="I77" s="80">
        <f>'Прил 7'!J276</f>
        <v>426400</v>
      </c>
      <c r="J77" s="80">
        <f>'Прил 7'!K276</f>
        <v>1343456</v>
      </c>
    </row>
    <row r="78" spans="1:10" x14ac:dyDescent="0.25">
      <c r="A78" s="78" t="s">
        <v>314</v>
      </c>
      <c r="B78" s="79" t="s">
        <v>86</v>
      </c>
      <c r="C78" s="35">
        <v>3</v>
      </c>
      <c r="D78" s="79" t="s">
        <v>68</v>
      </c>
      <c r="E78" s="79">
        <v>29260</v>
      </c>
      <c r="F78" s="62">
        <v>240</v>
      </c>
      <c r="G78" s="34">
        <v>8</v>
      </c>
      <c r="H78" s="34">
        <v>4</v>
      </c>
      <c r="I78" s="80">
        <f>'Прил 7'!J278</f>
        <v>532000</v>
      </c>
      <c r="J78" s="80">
        <f>'Прил 7'!K278</f>
        <v>532000</v>
      </c>
    </row>
    <row r="79" spans="1:10" ht="63" x14ac:dyDescent="0.25">
      <c r="A79" s="78" t="s">
        <v>359</v>
      </c>
      <c r="B79" s="79" t="s">
        <v>86</v>
      </c>
      <c r="C79" s="35">
        <v>4</v>
      </c>
      <c r="D79" s="79" t="s">
        <v>68</v>
      </c>
      <c r="E79" s="79" t="s">
        <v>69</v>
      </c>
      <c r="F79" s="62" t="s">
        <v>333</v>
      </c>
      <c r="G79" s="34" t="s">
        <v>333</v>
      </c>
      <c r="H79" s="34" t="s">
        <v>333</v>
      </c>
      <c r="I79" s="80">
        <f>SUM(I80:I82)</f>
        <v>3657407.81</v>
      </c>
      <c r="J79" s="80">
        <f>SUM(J80:J82)</f>
        <v>3718704.12</v>
      </c>
    </row>
    <row r="80" spans="1:10" x14ac:dyDescent="0.25">
      <c r="A80" s="78" t="s">
        <v>324</v>
      </c>
      <c r="B80" s="79" t="s">
        <v>86</v>
      </c>
      <c r="C80" s="35">
        <v>4</v>
      </c>
      <c r="D80" s="79" t="s">
        <v>68</v>
      </c>
      <c r="E80" s="79">
        <v>29230</v>
      </c>
      <c r="F80" s="62">
        <v>240</v>
      </c>
      <c r="G80" s="34">
        <v>11</v>
      </c>
      <c r="H80" s="34">
        <v>5</v>
      </c>
      <c r="I80" s="80">
        <f>'Прил 7'!J294</f>
        <v>625000</v>
      </c>
      <c r="J80" s="80">
        <f>'Прил 7'!K294</f>
        <v>625000</v>
      </c>
    </row>
    <row r="81" spans="1:10" x14ac:dyDescent="0.25">
      <c r="A81" s="78" t="s">
        <v>273</v>
      </c>
      <c r="B81" s="79" t="s">
        <v>86</v>
      </c>
      <c r="C81" s="35">
        <v>4</v>
      </c>
      <c r="D81" s="79" t="s">
        <v>68</v>
      </c>
      <c r="E81" s="79">
        <v>29370</v>
      </c>
      <c r="F81" s="62">
        <v>240</v>
      </c>
      <c r="G81" s="34">
        <v>11</v>
      </c>
      <c r="H81" s="34">
        <v>5</v>
      </c>
      <c r="I81" s="80">
        <f>'Прил 7'!J296</f>
        <v>1532407.81</v>
      </c>
      <c r="J81" s="80">
        <f>'Прил 7'!K296</f>
        <v>1593704.12</v>
      </c>
    </row>
    <row r="82" spans="1:10" x14ac:dyDescent="0.25">
      <c r="A82" s="78" t="s">
        <v>326</v>
      </c>
      <c r="B82" s="79" t="s">
        <v>86</v>
      </c>
      <c r="C82" s="35">
        <v>4</v>
      </c>
      <c r="D82" s="79" t="s">
        <v>68</v>
      </c>
      <c r="E82" s="79">
        <v>29570</v>
      </c>
      <c r="F82" s="62">
        <v>240</v>
      </c>
      <c r="G82" s="34">
        <v>11</v>
      </c>
      <c r="H82" s="34">
        <v>5</v>
      </c>
      <c r="I82" s="80">
        <f>'Прил 7'!J298</f>
        <v>1500000</v>
      </c>
      <c r="J82" s="80">
        <f>'Прил 7'!K298</f>
        <v>1500000</v>
      </c>
    </row>
    <row r="83" spans="1:10" ht="31.5" x14ac:dyDescent="0.25">
      <c r="A83" s="78" t="s">
        <v>360</v>
      </c>
      <c r="B83" s="79" t="s">
        <v>86</v>
      </c>
      <c r="C83" s="35">
        <v>5</v>
      </c>
      <c r="D83" s="79" t="s">
        <v>68</v>
      </c>
      <c r="E83" s="79" t="s">
        <v>69</v>
      </c>
      <c r="F83" s="62"/>
      <c r="G83" s="34"/>
      <c r="H83" s="34"/>
      <c r="I83" s="80">
        <f>SUM(I84:I84)</f>
        <v>15956405.01</v>
      </c>
      <c r="J83" s="80">
        <f>SUM(J84:J84)</f>
        <v>16828331.559999999</v>
      </c>
    </row>
    <row r="84" spans="1:10" ht="31.5" x14ac:dyDescent="0.25">
      <c r="A84" s="78" t="s">
        <v>291</v>
      </c>
      <c r="B84" s="79" t="s">
        <v>86</v>
      </c>
      <c r="C84" s="35">
        <v>5</v>
      </c>
      <c r="D84" s="79" t="s">
        <v>68</v>
      </c>
      <c r="E84" s="79" t="s">
        <v>292</v>
      </c>
      <c r="F84" s="62">
        <v>620</v>
      </c>
      <c r="G84" s="34">
        <v>8</v>
      </c>
      <c r="H84" s="34">
        <v>1</v>
      </c>
      <c r="I84" s="80">
        <f>'Прил 7'!J258</f>
        <v>15956405.01</v>
      </c>
      <c r="J84" s="80">
        <f>'Прил 7'!K258</f>
        <v>16828331.559999999</v>
      </c>
    </row>
    <row r="85" spans="1:10" ht="47.25" x14ac:dyDescent="0.25">
      <c r="A85" s="78" t="s">
        <v>182</v>
      </c>
      <c r="B85" s="79" t="s">
        <v>88</v>
      </c>
      <c r="C85" s="35" t="s">
        <v>67</v>
      </c>
      <c r="D85" s="79" t="s">
        <v>68</v>
      </c>
      <c r="E85" s="79" t="s">
        <v>69</v>
      </c>
      <c r="F85" s="62" t="s">
        <v>333</v>
      </c>
      <c r="G85" s="34" t="s">
        <v>333</v>
      </c>
      <c r="H85" s="34" t="s">
        <v>333</v>
      </c>
      <c r="I85" s="80">
        <f>I86+I97+I102</f>
        <v>1806020</v>
      </c>
      <c r="J85" s="80">
        <f>J86+J97+J102</f>
        <v>1808410</v>
      </c>
    </row>
    <row r="86" spans="1:10" ht="47.25" x14ac:dyDescent="0.25">
      <c r="A86" s="78" t="s">
        <v>361</v>
      </c>
      <c r="B86" s="79" t="s">
        <v>88</v>
      </c>
      <c r="C86" s="35" t="s">
        <v>70</v>
      </c>
      <c r="D86" s="79" t="s">
        <v>68</v>
      </c>
      <c r="E86" s="79" t="s">
        <v>69</v>
      </c>
      <c r="F86" s="62" t="s">
        <v>333</v>
      </c>
      <c r="G86" s="34" t="s">
        <v>333</v>
      </c>
      <c r="H86" s="34" t="s">
        <v>333</v>
      </c>
      <c r="I86" s="80">
        <f>I87+I89+I91+I93+I95</f>
        <v>1143020</v>
      </c>
      <c r="J86" s="80">
        <f>J87+J89+J91+J93+J95</f>
        <v>1145410</v>
      </c>
    </row>
    <row r="87" spans="1:10" x14ac:dyDescent="0.25">
      <c r="A87" s="78" t="s">
        <v>362</v>
      </c>
      <c r="B87" s="79" t="s">
        <v>88</v>
      </c>
      <c r="C87" s="35">
        <v>1</v>
      </c>
      <c r="D87" s="79" t="s">
        <v>65</v>
      </c>
      <c r="E87" s="79" t="s">
        <v>69</v>
      </c>
      <c r="F87" s="62"/>
      <c r="G87" s="34"/>
      <c r="H87" s="34"/>
      <c r="I87" s="80">
        <f>I88</f>
        <v>100000</v>
      </c>
      <c r="J87" s="80">
        <f>J88</f>
        <v>100000</v>
      </c>
    </row>
    <row r="88" spans="1:10" ht="47.25" x14ac:dyDescent="0.25">
      <c r="A88" s="78" t="s">
        <v>185</v>
      </c>
      <c r="B88" s="79" t="s">
        <v>88</v>
      </c>
      <c r="C88" s="35">
        <v>1</v>
      </c>
      <c r="D88" s="79" t="s">
        <v>65</v>
      </c>
      <c r="E88" s="79" t="s">
        <v>186</v>
      </c>
      <c r="F88" s="62">
        <v>240</v>
      </c>
      <c r="G88" s="34">
        <v>1</v>
      </c>
      <c r="H88" s="34">
        <v>13</v>
      </c>
      <c r="I88" s="80">
        <f>'Прил 7'!J69</f>
        <v>100000</v>
      </c>
      <c r="J88" s="80">
        <f>'Прил 7'!K69</f>
        <v>100000</v>
      </c>
    </row>
    <row r="89" spans="1:10" ht="31.5" x14ac:dyDescent="0.25">
      <c r="A89" s="78" t="s">
        <v>363</v>
      </c>
      <c r="B89" s="79" t="s">
        <v>88</v>
      </c>
      <c r="C89" s="35">
        <v>1</v>
      </c>
      <c r="D89" s="79" t="s">
        <v>66</v>
      </c>
      <c r="E89" s="79" t="s">
        <v>69</v>
      </c>
      <c r="F89" s="62"/>
      <c r="G89" s="34"/>
      <c r="H89" s="34"/>
      <c r="I89" s="80">
        <f>I90</f>
        <v>40000</v>
      </c>
      <c r="J89" s="80">
        <f>J90</f>
        <v>40000</v>
      </c>
    </row>
    <row r="90" spans="1:10" ht="47.25" x14ac:dyDescent="0.25">
      <c r="A90" s="78" t="s">
        <v>185</v>
      </c>
      <c r="B90" s="79" t="s">
        <v>88</v>
      </c>
      <c r="C90" s="35">
        <v>1</v>
      </c>
      <c r="D90" s="79" t="s">
        <v>66</v>
      </c>
      <c r="E90" s="79" t="s">
        <v>186</v>
      </c>
      <c r="F90" s="62">
        <v>240</v>
      </c>
      <c r="G90" s="34">
        <v>1</v>
      </c>
      <c r="H90" s="34">
        <v>13</v>
      </c>
      <c r="I90" s="80">
        <f>'Прил 7'!J72</f>
        <v>40000</v>
      </c>
      <c r="J90" s="80">
        <f>'Прил 7'!K72</f>
        <v>40000</v>
      </c>
    </row>
    <row r="91" spans="1:10" ht="31.5" x14ac:dyDescent="0.25">
      <c r="A91" s="78" t="s">
        <v>364</v>
      </c>
      <c r="B91" s="79" t="s">
        <v>88</v>
      </c>
      <c r="C91" s="35">
        <v>1</v>
      </c>
      <c r="D91" s="79" t="s">
        <v>72</v>
      </c>
      <c r="E91" s="79" t="s">
        <v>69</v>
      </c>
      <c r="F91" s="62"/>
      <c r="G91" s="34"/>
      <c r="H91" s="34"/>
      <c r="I91" s="80">
        <f>I92</f>
        <v>929326</v>
      </c>
      <c r="J91" s="80">
        <f>J92</f>
        <v>926907</v>
      </c>
    </row>
    <row r="92" spans="1:10" ht="47.25" x14ac:dyDescent="0.25">
      <c r="A92" s="78" t="s">
        <v>185</v>
      </c>
      <c r="B92" s="79" t="s">
        <v>88</v>
      </c>
      <c r="C92" s="35">
        <v>1</v>
      </c>
      <c r="D92" s="79" t="s">
        <v>72</v>
      </c>
      <c r="E92" s="79" t="s">
        <v>186</v>
      </c>
      <c r="F92" s="62">
        <v>240</v>
      </c>
      <c r="G92" s="34">
        <v>1</v>
      </c>
      <c r="H92" s="34">
        <v>13</v>
      </c>
      <c r="I92" s="80">
        <f>'Прил 7'!J75</f>
        <v>929326</v>
      </c>
      <c r="J92" s="80">
        <f>'Прил 7'!K75</f>
        <v>926907</v>
      </c>
    </row>
    <row r="93" spans="1:10" x14ac:dyDescent="0.25">
      <c r="A93" s="78" t="s">
        <v>365</v>
      </c>
      <c r="B93" s="79" t="s">
        <v>88</v>
      </c>
      <c r="C93" s="35">
        <v>1</v>
      </c>
      <c r="D93" s="79" t="s">
        <v>83</v>
      </c>
      <c r="E93" s="79" t="s">
        <v>69</v>
      </c>
      <c r="F93" s="62"/>
      <c r="G93" s="34"/>
      <c r="H93" s="34"/>
      <c r="I93" s="80">
        <f>I94</f>
        <v>68694</v>
      </c>
      <c r="J93" s="80">
        <f>J94</f>
        <v>73503</v>
      </c>
    </row>
    <row r="94" spans="1:10" ht="47.25" x14ac:dyDescent="0.25">
      <c r="A94" s="78" t="s">
        <v>185</v>
      </c>
      <c r="B94" s="79" t="s">
        <v>88</v>
      </c>
      <c r="C94" s="35">
        <v>1</v>
      </c>
      <c r="D94" s="79" t="s">
        <v>83</v>
      </c>
      <c r="E94" s="79" t="s">
        <v>186</v>
      </c>
      <c r="F94" s="62">
        <v>240</v>
      </c>
      <c r="G94" s="34">
        <v>1</v>
      </c>
      <c r="H94" s="34">
        <v>13</v>
      </c>
      <c r="I94" s="80">
        <f>'Прил 7'!J78</f>
        <v>68694</v>
      </c>
      <c r="J94" s="80">
        <f>'Прил 7'!K78</f>
        <v>73503</v>
      </c>
    </row>
    <row r="95" spans="1:10" ht="63" x14ac:dyDescent="0.25">
      <c r="A95" s="78" t="s">
        <v>366</v>
      </c>
      <c r="B95" s="79" t="s">
        <v>88</v>
      </c>
      <c r="C95" s="35">
        <v>1</v>
      </c>
      <c r="D95" s="79" t="s">
        <v>84</v>
      </c>
      <c r="E95" s="79" t="s">
        <v>69</v>
      </c>
      <c r="F95" s="62"/>
      <c r="G95" s="34"/>
      <c r="H95" s="34"/>
      <c r="I95" s="80">
        <f>I96</f>
        <v>5000</v>
      </c>
      <c r="J95" s="80">
        <f>J96</f>
        <v>5000</v>
      </c>
    </row>
    <row r="96" spans="1:10" ht="47.25" x14ac:dyDescent="0.25">
      <c r="A96" s="78" t="s">
        <v>185</v>
      </c>
      <c r="B96" s="79" t="s">
        <v>88</v>
      </c>
      <c r="C96" s="35">
        <v>1</v>
      </c>
      <c r="D96" s="79" t="s">
        <v>84</v>
      </c>
      <c r="E96" s="79" t="s">
        <v>186</v>
      </c>
      <c r="F96" s="62">
        <v>240</v>
      </c>
      <c r="G96" s="34">
        <v>1</v>
      </c>
      <c r="H96" s="34">
        <v>13</v>
      </c>
      <c r="I96" s="80">
        <f>'Прил 7'!J81</f>
        <v>5000</v>
      </c>
      <c r="J96" s="80">
        <f>'Прил 7'!K81</f>
        <v>5000</v>
      </c>
    </row>
    <row r="97" spans="1:10" ht="31.5" x14ac:dyDescent="0.25">
      <c r="A97" s="78" t="s">
        <v>367</v>
      </c>
      <c r="B97" s="79" t="s">
        <v>88</v>
      </c>
      <c r="C97" s="79">
        <v>2</v>
      </c>
      <c r="D97" s="79" t="s">
        <v>68</v>
      </c>
      <c r="E97" s="79" t="s">
        <v>69</v>
      </c>
      <c r="F97" s="62" t="s">
        <v>333</v>
      </c>
      <c r="G97" s="34" t="s">
        <v>333</v>
      </c>
      <c r="H97" s="34" t="s">
        <v>333</v>
      </c>
      <c r="I97" s="80">
        <f>I98+I100</f>
        <v>663000</v>
      </c>
      <c r="J97" s="80">
        <f>J98+J100</f>
        <v>663000</v>
      </c>
    </row>
    <row r="98" spans="1:10" x14ac:dyDescent="0.25">
      <c r="A98" s="78" t="s">
        <v>362</v>
      </c>
      <c r="B98" s="79" t="s">
        <v>88</v>
      </c>
      <c r="C98" s="79" t="s">
        <v>73</v>
      </c>
      <c r="D98" s="79" t="s">
        <v>65</v>
      </c>
      <c r="E98" s="79" t="s">
        <v>69</v>
      </c>
      <c r="F98" s="62"/>
      <c r="G98" s="34"/>
      <c r="H98" s="34"/>
      <c r="I98" s="80">
        <f>I99</f>
        <v>150000</v>
      </c>
      <c r="J98" s="80">
        <f>J99</f>
        <v>150000</v>
      </c>
    </row>
    <row r="99" spans="1:10" ht="47.25" x14ac:dyDescent="0.25">
      <c r="A99" s="78" t="s">
        <v>185</v>
      </c>
      <c r="B99" s="79" t="s">
        <v>88</v>
      </c>
      <c r="C99" s="79" t="s">
        <v>73</v>
      </c>
      <c r="D99" s="79" t="s">
        <v>65</v>
      </c>
      <c r="E99" s="79" t="s">
        <v>186</v>
      </c>
      <c r="F99" s="62">
        <v>240</v>
      </c>
      <c r="G99" s="34">
        <v>5</v>
      </c>
      <c r="H99" s="34">
        <v>5</v>
      </c>
      <c r="I99" s="80">
        <f>'Прил 7'!J234</f>
        <v>150000</v>
      </c>
      <c r="J99" s="80">
        <f>'Прил 7'!K234</f>
        <v>150000</v>
      </c>
    </row>
    <row r="100" spans="1:10" x14ac:dyDescent="0.25">
      <c r="A100" s="78" t="s">
        <v>368</v>
      </c>
      <c r="B100" s="79" t="s">
        <v>88</v>
      </c>
      <c r="C100" s="79" t="s">
        <v>73</v>
      </c>
      <c r="D100" s="79" t="s">
        <v>66</v>
      </c>
      <c r="E100" s="79" t="s">
        <v>69</v>
      </c>
      <c r="F100" s="62"/>
      <c r="G100" s="34"/>
      <c r="H100" s="34"/>
      <c r="I100" s="80">
        <f>I101</f>
        <v>513000</v>
      </c>
      <c r="J100" s="80">
        <f>J101</f>
        <v>513000</v>
      </c>
    </row>
    <row r="101" spans="1:10" ht="47.25" x14ac:dyDescent="0.25">
      <c r="A101" s="78" t="s">
        <v>185</v>
      </c>
      <c r="B101" s="79" t="s">
        <v>88</v>
      </c>
      <c r="C101" s="79" t="s">
        <v>73</v>
      </c>
      <c r="D101" s="79" t="s">
        <v>66</v>
      </c>
      <c r="E101" s="79" t="s">
        <v>186</v>
      </c>
      <c r="F101" s="62">
        <v>240</v>
      </c>
      <c r="G101" s="34">
        <v>5</v>
      </c>
      <c r="H101" s="34">
        <v>5</v>
      </c>
      <c r="I101" s="80">
        <f>'Прил 7'!J237</f>
        <v>513000</v>
      </c>
      <c r="J101" s="80">
        <f>'Прил 7'!K237</f>
        <v>513000</v>
      </c>
    </row>
    <row r="102" spans="1:10" ht="31.5" hidden="1" x14ac:dyDescent="0.25">
      <c r="A102" s="78" t="s">
        <v>367</v>
      </c>
      <c r="B102" s="79" t="s">
        <v>88</v>
      </c>
      <c r="C102" s="79" t="s">
        <v>74</v>
      </c>
      <c r="D102" s="79" t="s">
        <v>68</v>
      </c>
      <c r="E102" s="79" t="s">
        <v>69</v>
      </c>
      <c r="F102" s="62" t="s">
        <v>333</v>
      </c>
      <c r="G102" s="34" t="s">
        <v>333</v>
      </c>
      <c r="H102" s="34" t="s">
        <v>333</v>
      </c>
      <c r="I102" s="80">
        <f>I103</f>
        <v>0</v>
      </c>
      <c r="J102" s="80">
        <f>J103</f>
        <v>0</v>
      </c>
    </row>
    <row r="103" spans="1:10" ht="63" hidden="1" x14ac:dyDescent="0.25">
      <c r="A103" s="78" t="s">
        <v>428</v>
      </c>
      <c r="B103" s="79" t="s">
        <v>88</v>
      </c>
      <c r="C103" s="79" t="s">
        <v>74</v>
      </c>
      <c r="D103" s="79" t="s">
        <v>66</v>
      </c>
      <c r="E103" s="79" t="s">
        <v>69</v>
      </c>
      <c r="F103" s="62"/>
      <c r="G103" s="34"/>
      <c r="H103" s="34"/>
      <c r="I103" s="80">
        <f>I104</f>
        <v>0</v>
      </c>
      <c r="J103" s="80">
        <f>J104</f>
        <v>0</v>
      </c>
    </row>
    <row r="104" spans="1:10" ht="47.25" hidden="1" x14ac:dyDescent="0.25">
      <c r="A104" s="78" t="s">
        <v>185</v>
      </c>
      <c r="B104" s="79" t="s">
        <v>88</v>
      </c>
      <c r="C104" s="79" t="s">
        <v>74</v>
      </c>
      <c r="D104" s="79" t="s">
        <v>66</v>
      </c>
      <c r="E104" s="79" t="s">
        <v>186</v>
      </c>
      <c r="F104" s="62">
        <v>620</v>
      </c>
      <c r="G104" s="34">
        <v>8</v>
      </c>
      <c r="H104" s="34">
        <v>1</v>
      </c>
      <c r="I104" s="80">
        <f>'Прил 7'!J263</f>
        <v>0</v>
      </c>
      <c r="J104" s="80">
        <f>'Прил 7'!K263</f>
        <v>0</v>
      </c>
    </row>
    <row r="105" spans="1:10" ht="47.25" x14ac:dyDescent="0.25">
      <c r="A105" s="78" t="s">
        <v>192</v>
      </c>
      <c r="B105" s="79" t="s">
        <v>112</v>
      </c>
      <c r="C105" s="35" t="s">
        <v>67</v>
      </c>
      <c r="D105" s="79" t="s">
        <v>68</v>
      </c>
      <c r="E105" s="79" t="s">
        <v>69</v>
      </c>
      <c r="F105" s="62" t="s">
        <v>333</v>
      </c>
      <c r="G105" s="34" t="s">
        <v>333</v>
      </c>
      <c r="H105" s="34" t="s">
        <v>333</v>
      </c>
      <c r="I105" s="80">
        <f>SUM(I106:I107)</f>
        <v>6000</v>
      </c>
      <c r="J105" s="80">
        <f>SUM(J106:J107)</f>
        <v>6000</v>
      </c>
    </row>
    <row r="106" spans="1:10" ht="31.5" x14ac:dyDescent="0.25">
      <c r="A106" s="78" t="s">
        <v>402</v>
      </c>
      <c r="B106" s="79" t="s">
        <v>112</v>
      </c>
      <c r="C106" s="35">
        <v>0</v>
      </c>
      <c r="D106" s="79" t="s">
        <v>68</v>
      </c>
      <c r="E106" s="79" t="s">
        <v>403</v>
      </c>
      <c r="F106" s="62">
        <v>350</v>
      </c>
      <c r="G106" s="34">
        <v>1</v>
      </c>
      <c r="H106" s="34">
        <v>13</v>
      </c>
      <c r="I106" s="80">
        <f>'Прил 7'!J85</f>
        <v>6000</v>
      </c>
      <c r="J106" s="80">
        <f>'Прил 7'!K85</f>
        <v>6000</v>
      </c>
    </row>
    <row r="107" spans="1:10" ht="78.75" hidden="1" x14ac:dyDescent="0.25">
      <c r="A107" s="78" t="s">
        <v>415</v>
      </c>
      <c r="B107" s="79" t="s">
        <v>112</v>
      </c>
      <c r="C107" s="35">
        <v>0</v>
      </c>
      <c r="D107" s="79" t="s">
        <v>68</v>
      </c>
      <c r="E107" s="79" t="s">
        <v>405</v>
      </c>
      <c r="F107" s="62">
        <v>350</v>
      </c>
      <c r="G107" s="34">
        <v>1</v>
      </c>
      <c r="H107" s="34">
        <v>13</v>
      </c>
      <c r="I107" s="80"/>
      <c r="J107" s="80"/>
    </row>
    <row r="108" spans="1:10" ht="94.5" x14ac:dyDescent="0.25">
      <c r="A108" s="36" t="s">
        <v>296</v>
      </c>
      <c r="B108" s="79" t="s">
        <v>102</v>
      </c>
      <c r="C108" s="35" t="s">
        <v>67</v>
      </c>
      <c r="D108" s="79" t="s">
        <v>68</v>
      </c>
      <c r="E108" s="79" t="s">
        <v>69</v>
      </c>
      <c r="F108" s="62"/>
      <c r="G108" s="34"/>
      <c r="H108" s="34"/>
      <c r="I108" s="80">
        <f>I109</f>
        <v>30000</v>
      </c>
      <c r="J108" s="80">
        <f>J109</f>
        <v>30000</v>
      </c>
    </row>
    <row r="109" spans="1:10" ht="31.5" x14ac:dyDescent="0.25">
      <c r="A109" s="36" t="s">
        <v>297</v>
      </c>
      <c r="B109" s="79" t="s">
        <v>102</v>
      </c>
      <c r="C109" s="35">
        <v>0</v>
      </c>
      <c r="D109" s="79" t="s">
        <v>68</v>
      </c>
      <c r="E109" s="79" t="s">
        <v>298</v>
      </c>
      <c r="F109" s="62">
        <v>240</v>
      </c>
      <c r="G109" s="34">
        <v>7</v>
      </c>
      <c r="H109" s="34">
        <v>5</v>
      </c>
      <c r="I109" s="80">
        <f>'Прил 7'!J242</f>
        <v>30000</v>
      </c>
      <c r="J109" s="80">
        <f>'Прил 7'!K242</f>
        <v>30000</v>
      </c>
    </row>
    <row r="110" spans="1:10" ht="63" x14ac:dyDescent="0.25">
      <c r="A110" s="78" t="s">
        <v>194</v>
      </c>
      <c r="B110" s="79" t="s">
        <v>90</v>
      </c>
      <c r="C110" s="35" t="s">
        <v>67</v>
      </c>
      <c r="D110" s="79" t="s">
        <v>68</v>
      </c>
      <c r="E110" s="79" t="s">
        <v>69</v>
      </c>
      <c r="F110" s="62" t="s">
        <v>333</v>
      </c>
      <c r="G110" s="34" t="s">
        <v>333</v>
      </c>
      <c r="H110" s="34" t="s">
        <v>333</v>
      </c>
      <c r="I110" s="80">
        <f>I111</f>
        <v>10000</v>
      </c>
      <c r="J110" s="80">
        <f>J111</f>
        <v>10000</v>
      </c>
    </row>
    <row r="111" spans="1:10" x14ac:dyDescent="0.25">
      <c r="A111" s="78" t="s">
        <v>369</v>
      </c>
      <c r="B111" s="79" t="s">
        <v>90</v>
      </c>
      <c r="C111" s="35">
        <v>0</v>
      </c>
      <c r="D111" s="79" t="s">
        <v>65</v>
      </c>
      <c r="E111" s="79" t="s">
        <v>69</v>
      </c>
      <c r="F111" s="62"/>
      <c r="G111" s="34"/>
      <c r="H111" s="34"/>
      <c r="I111" s="80">
        <f>SUM(I112:I112)</f>
        <v>10000</v>
      </c>
      <c r="J111" s="80">
        <f>SUM(J112:J112)</f>
        <v>10000</v>
      </c>
    </row>
    <row r="112" spans="1:10" ht="31.5" x14ac:dyDescent="0.25">
      <c r="A112" s="78" t="s">
        <v>196</v>
      </c>
      <c r="B112" s="79" t="s">
        <v>90</v>
      </c>
      <c r="C112" s="35">
        <v>0</v>
      </c>
      <c r="D112" s="79" t="s">
        <v>65</v>
      </c>
      <c r="E112" s="79" t="s">
        <v>197</v>
      </c>
      <c r="F112" s="62">
        <v>240</v>
      </c>
      <c r="G112" s="34">
        <v>1</v>
      </c>
      <c r="H112" s="34">
        <v>13</v>
      </c>
      <c r="I112" s="80">
        <f>'Прил 7'!J91</f>
        <v>10000</v>
      </c>
      <c r="J112" s="80">
        <f>'Прил 7'!K91</f>
        <v>10000</v>
      </c>
    </row>
    <row r="113" spans="1:10" ht="47.25" x14ac:dyDescent="0.25">
      <c r="A113" s="78" t="s">
        <v>494</v>
      </c>
      <c r="B113" s="79" t="s">
        <v>94</v>
      </c>
      <c r="C113" s="35" t="s">
        <v>67</v>
      </c>
      <c r="D113" s="79" t="s">
        <v>68</v>
      </c>
      <c r="E113" s="79" t="s">
        <v>69</v>
      </c>
      <c r="F113" s="62" t="s">
        <v>333</v>
      </c>
      <c r="G113" s="34" t="s">
        <v>333</v>
      </c>
      <c r="H113" s="34" t="s">
        <v>333</v>
      </c>
      <c r="I113" s="80">
        <f>I114</f>
        <v>1135000</v>
      </c>
      <c r="J113" s="80">
        <f>J114</f>
        <v>1135000</v>
      </c>
    </row>
    <row r="114" spans="1:10" ht="63" x14ac:dyDescent="0.25">
      <c r="A114" s="78" t="s">
        <v>495</v>
      </c>
      <c r="B114" s="79" t="s">
        <v>94</v>
      </c>
      <c r="C114" s="35">
        <v>0</v>
      </c>
      <c r="D114" s="79" t="s">
        <v>65</v>
      </c>
      <c r="E114" s="79" t="s">
        <v>69</v>
      </c>
      <c r="F114" s="62" t="s">
        <v>333</v>
      </c>
      <c r="G114" s="34" t="s">
        <v>333</v>
      </c>
      <c r="H114" s="34" t="s">
        <v>333</v>
      </c>
      <c r="I114" s="80">
        <f>SUM(I115:I116)</f>
        <v>1135000</v>
      </c>
      <c r="J114" s="80">
        <f>SUM(J115:J116)</f>
        <v>1135000</v>
      </c>
    </row>
    <row r="115" spans="1:10" ht="31.5" x14ac:dyDescent="0.25">
      <c r="A115" s="78" t="s">
        <v>144</v>
      </c>
      <c r="B115" s="79" t="s">
        <v>94</v>
      </c>
      <c r="C115" s="35">
        <v>0</v>
      </c>
      <c r="D115" s="79" t="s">
        <v>65</v>
      </c>
      <c r="E115" s="79">
        <v>26910</v>
      </c>
      <c r="F115" s="62">
        <v>240</v>
      </c>
      <c r="G115" s="34">
        <v>1</v>
      </c>
      <c r="H115" s="34">
        <v>13</v>
      </c>
      <c r="I115" s="80">
        <f>'Прил 7'!J95</f>
        <v>135000</v>
      </c>
      <c r="J115" s="80">
        <f>'Прил 7'!K95</f>
        <v>135000</v>
      </c>
    </row>
    <row r="116" spans="1:10" ht="31.5" x14ac:dyDescent="0.25">
      <c r="A116" s="78" t="s">
        <v>144</v>
      </c>
      <c r="B116" s="79" t="s">
        <v>94</v>
      </c>
      <c r="C116" s="35">
        <v>0</v>
      </c>
      <c r="D116" s="79" t="s">
        <v>66</v>
      </c>
      <c r="E116" s="79">
        <v>26910</v>
      </c>
      <c r="F116" s="62">
        <v>240</v>
      </c>
      <c r="G116" s="34">
        <v>1</v>
      </c>
      <c r="H116" s="34">
        <v>13</v>
      </c>
      <c r="I116" s="80">
        <f>'Прил 7'!J98</f>
        <v>1000000</v>
      </c>
      <c r="J116" s="80">
        <f>'Прил 7'!K98</f>
        <v>1000000</v>
      </c>
    </row>
    <row r="117" spans="1:10" ht="63" x14ac:dyDescent="0.25">
      <c r="A117" s="78" t="s">
        <v>198</v>
      </c>
      <c r="B117" s="79" t="s">
        <v>99</v>
      </c>
      <c r="C117" s="35" t="s">
        <v>67</v>
      </c>
      <c r="D117" s="79" t="s">
        <v>68</v>
      </c>
      <c r="E117" s="79" t="s">
        <v>69</v>
      </c>
      <c r="F117" s="62"/>
      <c r="G117" s="34"/>
      <c r="H117" s="34"/>
      <c r="I117" s="80">
        <f>I118</f>
        <v>10000</v>
      </c>
      <c r="J117" s="80">
        <f>J118</f>
        <v>10000</v>
      </c>
    </row>
    <row r="118" spans="1:10" ht="47.25" x14ac:dyDescent="0.25">
      <c r="A118" s="78" t="s">
        <v>199</v>
      </c>
      <c r="B118" s="79" t="s">
        <v>99</v>
      </c>
      <c r="C118" s="35">
        <v>0</v>
      </c>
      <c r="D118" s="79" t="s">
        <v>66</v>
      </c>
      <c r="E118" s="79" t="s">
        <v>69</v>
      </c>
      <c r="F118" s="62"/>
      <c r="G118" s="34"/>
      <c r="H118" s="34"/>
      <c r="I118" s="80">
        <f>I119</f>
        <v>10000</v>
      </c>
      <c r="J118" s="80">
        <f>J119</f>
        <v>10000</v>
      </c>
    </row>
    <row r="119" spans="1:10" ht="31.5" x14ac:dyDescent="0.25">
      <c r="A119" s="36" t="s">
        <v>200</v>
      </c>
      <c r="B119" s="79" t="s">
        <v>99</v>
      </c>
      <c r="C119" s="35">
        <v>0</v>
      </c>
      <c r="D119" s="79" t="s">
        <v>66</v>
      </c>
      <c r="E119" s="79" t="s">
        <v>201</v>
      </c>
      <c r="F119" s="62">
        <v>240</v>
      </c>
      <c r="G119" s="34">
        <v>1</v>
      </c>
      <c r="H119" s="34">
        <v>13</v>
      </c>
      <c r="I119" s="80">
        <f>'Прил 7'!J102</f>
        <v>10000</v>
      </c>
      <c r="J119" s="80">
        <f>'Прил 7'!K102</f>
        <v>10000</v>
      </c>
    </row>
    <row r="120" spans="1:10" ht="63" x14ac:dyDescent="0.25">
      <c r="A120" s="36" t="s">
        <v>485</v>
      </c>
      <c r="B120" s="79" t="s">
        <v>110</v>
      </c>
      <c r="C120" s="35">
        <v>0</v>
      </c>
      <c r="D120" s="79" t="s">
        <v>68</v>
      </c>
      <c r="E120" s="79" t="s">
        <v>69</v>
      </c>
      <c r="F120" s="62"/>
      <c r="G120" s="34"/>
      <c r="H120" s="34"/>
      <c r="I120" s="80">
        <f>I121</f>
        <v>2393.2399999999998</v>
      </c>
      <c r="J120" s="80">
        <f>J121</f>
        <v>0</v>
      </c>
    </row>
    <row r="121" spans="1:10" ht="47.25" x14ac:dyDescent="0.25">
      <c r="A121" s="36" t="s">
        <v>496</v>
      </c>
      <c r="B121" s="79" t="s">
        <v>110</v>
      </c>
      <c r="C121" s="35">
        <v>1</v>
      </c>
      <c r="D121" s="79" t="s">
        <v>68</v>
      </c>
      <c r="E121" s="79" t="s">
        <v>69</v>
      </c>
      <c r="F121" s="62"/>
      <c r="G121" s="34"/>
      <c r="H121" s="34"/>
      <c r="I121" s="80">
        <f>I122+I124+I126</f>
        <v>2393.2399999999998</v>
      </c>
      <c r="J121" s="80">
        <f>J122+J124+J126</f>
        <v>0</v>
      </c>
    </row>
    <row r="122" spans="1:10" hidden="1" x14ac:dyDescent="0.25">
      <c r="A122" s="36" t="s">
        <v>284</v>
      </c>
      <c r="B122" s="79" t="s">
        <v>110</v>
      </c>
      <c r="C122" s="35">
        <v>1</v>
      </c>
      <c r="D122" s="79" t="s">
        <v>65</v>
      </c>
      <c r="E122" s="79" t="s">
        <v>69</v>
      </c>
      <c r="F122" s="62"/>
      <c r="G122" s="34"/>
      <c r="H122" s="34"/>
      <c r="I122" s="80">
        <f>I123</f>
        <v>0</v>
      </c>
      <c r="J122" s="80">
        <f>J123</f>
        <v>0</v>
      </c>
    </row>
    <row r="123" spans="1:10" hidden="1" x14ac:dyDescent="0.25">
      <c r="A123" s="36" t="s">
        <v>372</v>
      </c>
      <c r="B123" s="79" t="s">
        <v>110</v>
      </c>
      <c r="C123" s="35">
        <v>1</v>
      </c>
      <c r="D123" s="79" t="s">
        <v>65</v>
      </c>
      <c r="E123" s="79" t="s">
        <v>286</v>
      </c>
      <c r="F123" s="62">
        <v>240</v>
      </c>
      <c r="G123" s="34">
        <v>5</v>
      </c>
      <c r="H123" s="34">
        <v>3</v>
      </c>
      <c r="I123" s="80"/>
      <c r="J123" s="80"/>
    </row>
    <row r="124" spans="1:10" ht="31.5" hidden="1" x14ac:dyDescent="0.25">
      <c r="A124" s="36" t="s">
        <v>287</v>
      </c>
      <c r="B124" s="79" t="s">
        <v>110</v>
      </c>
      <c r="C124" s="35">
        <v>1</v>
      </c>
      <c r="D124" s="79" t="s">
        <v>66</v>
      </c>
      <c r="E124" s="79" t="s">
        <v>69</v>
      </c>
      <c r="F124" s="62"/>
      <c r="G124" s="34"/>
      <c r="H124" s="34"/>
      <c r="I124" s="80">
        <f>I125</f>
        <v>0</v>
      </c>
      <c r="J124" s="80">
        <f>J125</f>
        <v>0</v>
      </c>
    </row>
    <row r="125" spans="1:10" ht="110.25" hidden="1" x14ac:dyDescent="0.25">
      <c r="A125" s="36" t="s">
        <v>373</v>
      </c>
      <c r="B125" s="79" t="s">
        <v>110</v>
      </c>
      <c r="C125" s="35">
        <v>1</v>
      </c>
      <c r="D125" s="79" t="s">
        <v>66</v>
      </c>
      <c r="E125" s="79" t="s">
        <v>286</v>
      </c>
      <c r="F125" s="62">
        <v>240</v>
      </c>
      <c r="G125" s="34">
        <v>5</v>
      </c>
      <c r="H125" s="34">
        <v>3</v>
      </c>
      <c r="I125" s="80"/>
      <c r="J125" s="80"/>
    </row>
    <row r="126" spans="1:10" ht="107.25" customHeight="1" x14ac:dyDescent="0.25">
      <c r="A126" s="36" t="s">
        <v>288</v>
      </c>
      <c r="B126" s="79" t="s">
        <v>110</v>
      </c>
      <c r="C126" s="35">
        <v>1</v>
      </c>
      <c r="D126" s="79" t="s">
        <v>120</v>
      </c>
      <c r="E126" s="79" t="s">
        <v>69</v>
      </c>
      <c r="F126" s="62"/>
      <c r="G126" s="34"/>
      <c r="H126" s="34"/>
      <c r="I126" s="80">
        <f>I127</f>
        <v>2393.2399999999998</v>
      </c>
      <c r="J126" s="80">
        <f>J127</f>
        <v>0</v>
      </c>
    </row>
    <row r="127" spans="1:10" ht="94.5" x14ac:dyDescent="0.25">
      <c r="A127" s="36" t="s">
        <v>285</v>
      </c>
      <c r="B127" s="79" t="s">
        <v>110</v>
      </c>
      <c r="C127" s="35">
        <v>1</v>
      </c>
      <c r="D127" s="79" t="s">
        <v>120</v>
      </c>
      <c r="E127" s="79" t="s">
        <v>121</v>
      </c>
      <c r="F127" s="62">
        <v>540</v>
      </c>
      <c r="G127" s="34">
        <v>5</v>
      </c>
      <c r="H127" s="34">
        <v>3</v>
      </c>
      <c r="I127" s="80">
        <f>'Прил 7'!J218</f>
        <v>2393.2399999999998</v>
      </c>
      <c r="J127" s="80">
        <f>'Прил 7'!K218</f>
        <v>0</v>
      </c>
    </row>
    <row r="128" spans="1:10" x14ac:dyDescent="0.25">
      <c r="A128" s="110" t="s">
        <v>133</v>
      </c>
      <c r="B128" s="111"/>
      <c r="C128" s="111"/>
      <c r="D128" s="111"/>
      <c r="E128" s="111"/>
      <c r="F128" s="111"/>
      <c r="G128" s="111"/>
      <c r="H128" s="111"/>
      <c r="I128" s="112">
        <f>I21+I28+I39+I64+I66+I69+I85+I105+I108+I110+I114+I117+I120</f>
        <v>133508994.71999998</v>
      </c>
      <c r="J128" s="112">
        <f>J21+J28+J39+J64+J66+J69+J85+J105+J108+J110+J114+J117+J120</f>
        <v>137741873.92000002</v>
      </c>
    </row>
  </sheetData>
  <mergeCells count="16">
    <mergeCell ref="C6:J6"/>
    <mergeCell ref="C7:J7"/>
    <mergeCell ref="A17:J17"/>
    <mergeCell ref="A19:J19"/>
    <mergeCell ref="B20:E20"/>
    <mergeCell ref="F9:J9"/>
    <mergeCell ref="F10:J10"/>
    <mergeCell ref="F11:J11"/>
    <mergeCell ref="F12:J12"/>
    <mergeCell ref="F13:J13"/>
    <mergeCell ref="F14:J14"/>
    <mergeCell ref="C1:J1"/>
    <mergeCell ref="C2:J2"/>
    <mergeCell ref="C3:J3"/>
    <mergeCell ref="C4:J4"/>
    <mergeCell ref="C5:J5"/>
  </mergeCells>
  <pageMargins left="0.78740157480314965" right="0.19685039370078741" top="0.39370078740157483" bottom="0.19685039370078741"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28</vt:i4>
      </vt:variant>
    </vt:vector>
  </HeadingPairs>
  <TitlesOfParts>
    <vt:vector size="40"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10'!__bookmark_1</vt:lpstr>
      <vt:lpstr>'Прил 5'!__bookmark_1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2'!Заголовки_для_печати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12'!Область_печати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2023-08-16T09:08:51Z</cp:lastPrinted>
  <dcterms:created xsi:type="dcterms:W3CDTF">2012-09-28T07:11:56Z</dcterms:created>
  <dcterms:modified xsi:type="dcterms:W3CDTF">2023-08-16T09:09:17Z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