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3\2020 год\"/>
    </mc:Choice>
  </mc:AlternateContent>
  <bookViews>
    <workbookView xWindow="120" yWindow="180" windowWidth="11625" windowHeight="6225" tabRatio="702" firstSheet="1" activeTab="7"/>
  </bookViews>
  <sheets>
    <sheet name="Приложение 1" sheetId="35" r:id="rId1"/>
    <sheet name="Приложение 2" sheetId="36" r:id="rId2"/>
    <sheet name="Приложение 3" sheetId="32" r:id="rId3"/>
    <sheet name="Приложение 4" sheetId="37" r:id="rId4"/>
    <sheet name="Приложение 5" sheetId="9" r:id="rId5"/>
    <sheet name="Приложение 6" sheetId="2" r:id="rId6"/>
    <sheet name="Приложение 7" sheetId="28" r:id="rId7"/>
    <sheet name="Приложение 8" sheetId="29" r:id="rId8"/>
    <sheet name="Приложение 9" sheetId="39" r:id="rId9"/>
    <sheet name="Приложение 10" sheetId="30" r:id="rId10"/>
    <sheet name="Приложение 11" sheetId="38" r:id="rId11"/>
  </sheets>
  <definedNames>
    <definedName name="_xlnm._FilterDatabase" localSheetId="4" hidden="1">'Приложение 5'!$A$11:$I$213</definedName>
    <definedName name="_xlnm._FilterDatabase" localSheetId="5" hidden="1">'Приложение 6'!$A$9:$J$164</definedName>
    <definedName name="_xlnm.Print_Titles" localSheetId="3">'Приложение 4'!$9:$9</definedName>
    <definedName name="_xlnm.Print_Titles" localSheetId="7">'Приложение 8'!$9:$9</definedName>
    <definedName name="_xlnm.Print_Area" localSheetId="0">'Приложение 1'!$A$1:$D$40</definedName>
    <definedName name="_xlnm.Print_Area" localSheetId="9">'Приложение 10'!$A$1:$D$31</definedName>
    <definedName name="_xlnm.Print_Area" localSheetId="10">'Приложение 11'!$A$1:$E$22</definedName>
    <definedName name="_xlnm.Print_Area" localSheetId="1">'Приложение 2'!$A$1:$E$74</definedName>
    <definedName name="_xlnm.Print_Area" localSheetId="2">'Приложение 3'!$A$1:$E$27</definedName>
    <definedName name="_xlnm.Print_Area" localSheetId="3">'Приложение 4'!$A$1:$F$44</definedName>
    <definedName name="_xlnm.Print_Area" localSheetId="4">'Приложение 5'!$A$1:$K$319</definedName>
    <definedName name="_xlnm.Print_Area" localSheetId="5">'Приложение 6'!$A$1:$L$324</definedName>
    <definedName name="_xlnm.Print_Area" localSheetId="6">'Приложение 7'!$A$1:$K$122</definedName>
    <definedName name="_xlnm.Print_Area" localSheetId="7">'Приложение 8'!$A$1:$L$22</definedName>
    <definedName name="_xlnm.Print_Area" localSheetId="8">'Приложение 9'!$A$1:$E$16</definedName>
  </definedNames>
  <calcPr calcId="162913" fullCalcOnLoad="1"/>
</workbook>
</file>

<file path=xl/calcChain.xml><?xml version="1.0" encoding="utf-8"?>
<calcChain xmlns="http://schemas.openxmlformats.org/spreadsheetml/2006/main">
  <c r="L15" i="29" l="1"/>
  <c r="L14" i="29" s="1"/>
  <c r="L13" i="29" s="1"/>
  <c r="L12" i="29" s="1"/>
  <c r="L11" i="29" s="1"/>
  <c r="L10" i="29" s="1"/>
  <c r="L22" i="29"/>
  <c r="L21" i="29"/>
  <c r="L20" i="29" s="1"/>
  <c r="L19" i="29" s="1"/>
  <c r="L18" i="29" s="1"/>
  <c r="L17" i="29" s="1"/>
  <c r="L16" i="29" s="1"/>
  <c r="J15" i="29"/>
  <c r="J14" i="29"/>
  <c r="J13" i="29"/>
  <c r="J12" i="29"/>
  <c r="J11" i="29"/>
  <c r="J10" i="29" s="1"/>
  <c r="D15" i="39"/>
  <c r="D14" i="39"/>
  <c r="D12" i="39"/>
  <c r="C13" i="39"/>
  <c r="C16" i="39" s="1"/>
  <c r="K121" i="28"/>
  <c r="K120" i="28" s="1"/>
  <c r="K119" i="28" s="1"/>
  <c r="K118" i="28" s="1"/>
  <c r="I121" i="28"/>
  <c r="K117" i="28"/>
  <c r="K116" i="28" s="1"/>
  <c r="K115" i="28" s="1"/>
  <c r="I117" i="28"/>
  <c r="I116" i="28"/>
  <c r="I115" i="28" s="1"/>
  <c r="K113" i="28"/>
  <c r="K114" i="28"/>
  <c r="K109" i="28"/>
  <c r="J110" i="28"/>
  <c r="K110" i="28"/>
  <c r="K106" i="28"/>
  <c r="K105" i="28"/>
  <c r="I106" i="28"/>
  <c r="I105" i="28"/>
  <c r="K102" i="28"/>
  <c r="K103" i="28"/>
  <c r="K104" i="28"/>
  <c r="K100" i="28"/>
  <c r="K99" i="28" s="1"/>
  <c r="K98" i="28" s="1"/>
  <c r="K95" i="28"/>
  <c r="K94" i="28"/>
  <c r="K97" i="28"/>
  <c r="K96" i="28" s="1"/>
  <c r="J84" i="28"/>
  <c r="J83" i="28" s="1"/>
  <c r="K84" i="28"/>
  <c r="K83" i="28"/>
  <c r="K86" i="28"/>
  <c r="K85" i="28" s="1"/>
  <c r="J88" i="28"/>
  <c r="J87" i="28" s="1"/>
  <c r="K88" i="28"/>
  <c r="K87" i="28" s="1"/>
  <c r="K82" i="28" s="1"/>
  <c r="K81" i="28" s="1"/>
  <c r="K90" i="28"/>
  <c r="K89" i="28"/>
  <c r="K92" i="28"/>
  <c r="K91" i="28" s="1"/>
  <c r="I92" i="28"/>
  <c r="I91" i="28"/>
  <c r="K80" i="28"/>
  <c r="K79" i="28"/>
  <c r="K62" i="28" s="1"/>
  <c r="K76" i="28"/>
  <c r="K77" i="28"/>
  <c r="K78" i="28"/>
  <c r="I78" i="28"/>
  <c r="K72" i="28"/>
  <c r="K73" i="28"/>
  <c r="K74" i="28"/>
  <c r="I72" i="28"/>
  <c r="K66" i="28"/>
  <c r="J67" i="28"/>
  <c r="K67" i="28"/>
  <c r="K68" i="28"/>
  <c r="K69" i="28"/>
  <c r="K70" i="28"/>
  <c r="I70" i="28"/>
  <c r="I69" i="28"/>
  <c r="I68" i="28"/>
  <c r="I66" i="28"/>
  <c r="K64" i="28"/>
  <c r="K63" i="28" s="1"/>
  <c r="J60" i="28"/>
  <c r="K60" i="28"/>
  <c r="J61" i="28"/>
  <c r="K61" i="28"/>
  <c r="I61" i="28"/>
  <c r="J56" i="28"/>
  <c r="K56" i="28"/>
  <c r="J57" i="28"/>
  <c r="K57" i="28"/>
  <c r="J58" i="28"/>
  <c r="K58" i="28"/>
  <c r="I57" i="28"/>
  <c r="J54" i="28"/>
  <c r="J53" i="28" s="1"/>
  <c r="K54" i="28"/>
  <c r="K53" i="28" s="1"/>
  <c r="K51" i="28"/>
  <c r="K50" i="28" s="1"/>
  <c r="K47" i="28"/>
  <c r="K48" i="28"/>
  <c r="K49" i="28"/>
  <c r="J38" i="28"/>
  <c r="K38" i="28"/>
  <c r="J39" i="28"/>
  <c r="K39" i="28"/>
  <c r="K40" i="28"/>
  <c r="J41" i="28"/>
  <c r="K41" i="28"/>
  <c r="K42" i="28"/>
  <c r="K43" i="28"/>
  <c r="J44" i="28"/>
  <c r="K44" i="28"/>
  <c r="K45" i="28"/>
  <c r="K33" i="28"/>
  <c r="J34" i="28"/>
  <c r="K34" i="28"/>
  <c r="J35" i="28"/>
  <c r="K35" i="28"/>
  <c r="J36" i="28"/>
  <c r="K36" i="28"/>
  <c r="I35" i="28"/>
  <c r="K26" i="28"/>
  <c r="K27" i="28"/>
  <c r="K28" i="28"/>
  <c r="K29" i="28"/>
  <c r="K30" i="28"/>
  <c r="K31" i="28"/>
  <c r="I30" i="28"/>
  <c r="K23" i="28"/>
  <c r="K22" i="28" s="1"/>
  <c r="K21" i="28"/>
  <c r="K20" i="28"/>
  <c r="K19" i="28"/>
  <c r="K18" i="28"/>
  <c r="J12" i="28"/>
  <c r="K12" i="28"/>
  <c r="K13" i="28"/>
  <c r="J14" i="28"/>
  <c r="K14" i="28"/>
  <c r="J16" i="28"/>
  <c r="J15" i="28" s="1"/>
  <c r="K16" i="28"/>
  <c r="K15" i="28" s="1"/>
  <c r="I120" i="28"/>
  <c r="I119" i="28" s="1"/>
  <c r="E26" i="32"/>
  <c r="E27" i="32" s="1"/>
  <c r="E17" i="32"/>
  <c r="C17" i="32"/>
  <c r="E16" i="32"/>
  <c r="E13" i="32"/>
  <c r="E12" i="32"/>
  <c r="E11" i="32"/>
  <c r="K318" i="9"/>
  <c r="K317" i="9" s="1"/>
  <c r="K316" i="9"/>
  <c r="K315" i="9"/>
  <c r="K314" i="9" s="1"/>
  <c r="K308" i="9"/>
  <c r="K307" i="9" s="1"/>
  <c r="K306" i="9" s="1"/>
  <c r="K305" i="9" s="1"/>
  <c r="K304" i="9" s="1"/>
  <c r="F41" i="37" s="1"/>
  <c r="F40" i="37" s="1"/>
  <c r="K310" i="9"/>
  <c r="K309" i="9" s="1"/>
  <c r="K312" i="9"/>
  <c r="K311" i="9" s="1"/>
  <c r="I312" i="9"/>
  <c r="K294" i="9"/>
  <c r="K293" i="9" s="1"/>
  <c r="K292" i="9" s="1"/>
  <c r="K291" i="9" s="1"/>
  <c r="K290" i="9" s="1"/>
  <c r="F39" i="37" s="1"/>
  <c r="F38" i="37" s="1"/>
  <c r="K298" i="9"/>
  <c r="K297" i="9"/>
  <c r="K296" i="9" s="1"/>
  <c r="K295" i="9" s="1"/>
  <c r="K302" i="9"/>
  <c r="K301" i="9" s="1"/>
  <c r="K300" i="9"/>
  <c r="K299" i="9" s="1"/>
  <c r="I298" i="9"/>
  <c r="I294" i="9"/>
  <c r="I293" i="9" s="1"/>
  <c r="I292" i="9" s="1"/>
  <c r="I291" i="9" s="1"/>
  <c r="K283" i="9"/>
  <c r="K282" i="9"/>
  <c r="K281" i="9" s="1"/>
  <c r="K280" i="9" s="1"/>
  <c r="F37" i="37" s="1"/>
  <c r="K284" i="9"/>
  <c r="K285" i="9"/>
  <c r="K286" i="9"/>
  <c r="K287" i="9"/>
  <c r="K288" i="9"/>
  <c r="I284" i="9"/>
  <c r="K273" i="9"/>
  <c r="K272" i="9" s="1"/>
  <c r="K279" i="9"/>
  <c r="K278" i="9" s="1"/>
  <c r="K277" i="9"/>
  <c r="K276" i="9" s="1"/>
  <c r="K275" i="9"/>
  <c r="K274" i="9" s="1"/>
  <c r="I275" i="9"/>
  <c r="I274" i="9" s="1"/>
  <c r="J271" i="9"/>
  <c r="J270" i="9" s="1"/>
  <c r="J269" i="9"/>
  <c r="J268" i="9" s="1"/>
  <c r="K271" i="9"/>
  <c r="K270" i="9" s="1"/>
  <c r="K269" i="9" s="1"/>
  <c r="K268" i="9" s="1"/>
  <c r="K267" i="9"/>
  <c r="K266" i="9" s="1"/>
  <c r="K265" i="9"/>
  <c r="K264" i="9" s="1"/>
  <c r="K263" i="9" s="1"/>
  <c r="K262" i="9"/>
  <c r="K261" i="9"/>
  <c r="K260" i="9" s="1"/>
  <c r="K257" i="9"/>
  <c r="K256" i="9"/>
  <c r="K259" i="9"/>
  <c r="K258" i="9" s="1"/>
  <c r="I259" i="9"/>
  <c r="I257" i="9"/>
  <c r="I256" i="9" s="1"/>
  <c r="J253" i="9"/>
  <c r="K253" i="9"/>
  <c r="J254" i="9"/>
  <c r="K254" i="9"/>
  <c r="K255" i="9"/>
  <c r="I255" i="9"/>
  <c r="I253" i="9"/>
  <c r="K242" i="9"/>
  <c r="K241" i="9"/>
  <c r="K240" i="9" s="1"/>
  <c r="K239" i="9"/>
  <c r="K247" i="9"/>
  <c r="K246" i="9" s="1"/>
  <c r="K245" i="9" s="1"/>
  <c r="K244" i="9" s="1"/>
  <c r="K243" i="9" s="1"/>
  <c r="F34" i="37" s="1"/>
  <c r="I242" i="9"/>
  <c r="K237" i="9"/>
  <c r="K236" i="9"/>
  <c r="K235" i="9" s="1"/>
  <c r="K234" i="9" s="1"/>
  <c r="K233" i="9" s="1"/>
  <c r="I237" i="9"/>
  <c r="I236" i="9"/>
  <c r="I235" i="9" s="1"/>
  <c r="I234" i="9"/>
  <c r="I233" i="9" s="1"/>
  <c r="D31" i="37" s="1"/>
  <c r="I232" i="9"/>
  <c r="K228" i="9"/>
  <c r="K227" i="9"/>
  <c r="K226" i="9" s="1"/>
  <c r="K231" i="9"/>
  <c r="K230" i="9" s="1"/>
  <c r="K229" i="9" s="1"/>
  <c r="K225" i="9" s="1"/>
  <c r="K224" i="9" s="1"/>
  <c r="K221" i="9"/>
  <c r="K222" i="9"/>
  <c r="K223" i="9"/>
  <c r="J215" i="9"/>
  <c r="J214" i="9" s="1"/>
  <c r="J213" i="9"/>
  <c r="J212" i="9" s="1"/>
  <c r="K216" i="9"/>
  <c r="K215" i="9"/>
  <c r="K214" i="9"/>
  <c r="K213" i="9" s="1"/>
  <c r="K212" i="9"/>
  <c r="I216" i="9"/>
  <c r="I215" i="9" s="1"/>
  <c r="I214" i="9" s="1"/>
  <c r="I213" i="9" s="1"/>
  <c r="K211" i="9"/>
  <c r="K210" i="9" s="1"/>
  <c r="J209" i="9"/>
  <c r="J208" i="9"/>
  <c r="K209" i="9"/>
  <c r="K208" i="9" s="1"/>
  <c r="J207" i="9"/>
  <c r="J206" i="9" s="1"/>
  <c r="K207" i="9"/>
  <c r="K206" i="9" s="1"/>
  <c r="K205" i="9"/>
  <c r="K204" i="9" s="1"/>
  <c r="J203" i="9"/>
  <c r="J202" i="9" s="1"/>
  <c r="K203" i="9"/>
  <c r="K202" i="9" s="1"/>
  <c r="K201" i="9"/>
  <c r="K200" i="9" s="1"/>
  <c r="I201" i="9"/>
  <c r="I200" i="9" s="1"/>
  <c r="J199" i="9"/>
  <c r="J198" i="9" s="1"/>
  <c r="K199" i="9"/>
  <c r="K198" i="9" s="1"/>
  <c r="J197" i="9"/>
  <c r="J196" i="9"/>
  <c r="K197" i="9"/>
  <c r="K196" i="9"/>
  <c r="J194" i="9"/>
  <c r="J193" i="9" s="1"/>
  <c r="K194" i="9"/>
  <c r="K193" i="9" s="1"/>
  <c r="I194" i="9"/>
  <c r="I193" i="9" s="1"/>
  <c r="J191" i="9"/>
  <c r="K191" i="9"/>
  <c r="J192" i="9"/>
  <c r="K192" i="9"/>
  <c r="I192" i="9"/>
  <c r="K189" i="9"/>
  <c r="K188" i="9" s="1"/>
  <c r="J184" i="9"/>
  <c r="J183" i="9" s="1"/>
  <c r="J182" i="9" s="1"/>
  <c r="J181" i="9" s="1"/>
  <c r="J180" i="9" s="1"/>
  <c r="E27" i="37" s="1"/>
  <c r="K184" i="9"/>
  <c r="K183" i="9" s="1"/>
  <c r="K182" i="9" s="1"/>
  <c r="K181" i="9"/>
  <c r="K180" i="9" s="1"/>
  <c r="F27" i="37" s="1"/>
  <c r="I184" i="9"/>
  <c r="I183" i="9" s="1"/>
  <c r="I182" i="9" s="1"/>
  <c r="I181" i="9" s="1"/>
  <c r="I180" i="9" s="1"/>
  <c r="D27" i="37" s="1"/>
  <c r="J179" i="9"/>
  <c r="J178" i="9"/>
  <c r="J177" i="9" s="1"/>
  <c r="J176" i="9" s="1"/>
  <c r="K179" i="9"/>
  <c r="K178" i="9"/>
  <c r="K177" i="9" s="1"/>
  <c r="K176" i="9" s="1"/>
  <c r="I179" i="9"/>
  <c r="I178" i="9" s="1"/>
  <c r="I177" i="9" s="1"/>
  <c r="I176" i="9" s="1"/>
  <c r="J174" i="9"/>
  <c r="K174" i="9"/>
  <c r="J175" i="9"/>
  <c r="K175" i="9"/>
  <c r="K173" i="9" s="1"/>
  <c r="K172" i="9" s="1"/>
  <c r="I175" i="9"/>
  <c r="J171" i="9"/>
  <c r="J170" i="9"/>
  <c r="K171" i="9"/>
  <c r="K170" i="9"/>
  <c r="J168" i="9"/>
  <c r="K168" i="9"/>
  <c r="J169" i="9"/>
  <c r="K169" i="9"/>
  <c r="I169" i="9"/>
  <c r="I168" i="9"/>
  <c r="I167" i="9" s="1"/>
  <c r="J165" i="9"/>
  <c r="J164" i="9"/>
  <c r="J163" i="9"/>
  <c r="K165" i="9"/>
  <c r="K164" i="9" s="1"/>
  <c r="K163" i="9"/>
  <c r="K159" i="9"/>
  <c r="K158" i="9"/>
  <c r="K157" i="9"/>
  <c r="K156" i="9" s="1"/>
  <c r="F24" i="37" s="1"/>
  <c r="J155" i="9"/>
  <c r="J154" i="9" s="1"/>
  <c r="J153" i="9" s="1"/>
  <c r="J152" i="9"/>
  <c r="J151" i="9" s="1"/>
  <c r="E23" i="37" s="1"/>
  <c r="K155" i="9"/>
  <c r="K154" i="9" s="1"/>
  <c r="K153" i="9" s="1"/>
  <c r="K152" i="9" s="1"/>
  <c r="K151" i="9" s="1"/>
  <c r="F23" i="37" s="1"/>
  <c r="K150" i="9"/>
  <c r="K149" i="9"/>
  <c r="I150" i="9"/>
  <c r="I149" i="9" s="1"/>
  <c r="K148" i="9"/>
  <c r="K147" i="9" s="1"/>
  <c r="I148" i="9"/>
  <c r="I147" i="9" s="1"/>
  <c r="K146" i="9"/>
  <c r="K145" i="9"/>
  <c r="K144" i="9"/>
  <c r="K143" i="9" s="1"/>
  <c r="K138" i="9" s="1"/>
  <c r="K142" i="9"/>
  <c r="K141" i="9" s="1"/>
  <c r="K140" i="9"/>
  <c r="K139" i="9"/>
  <c r="K134" i="9"/>
  <c r="K133" i="9"/>
  <c r="K132" i="9"/>
  <c r="K131" i="9" s="1"/>
  <c r="K130" i="9"/>
  <c r="F20" i="37" s="1"/>
  <c r="I134" i="9"/>
  <c r="I133" i="9" s="1"/>
  <c r="I132" i="9" s="1"/>
  <c r="I131" i="9" s="1"/>
  <c r="I130" i="9" s="1"/>
  <c r="D20" i="37" s="1"/>
  <c r="K129" i="9"/>
  <c r="E14" i="32" s="1"/>
  <c r="K128" i="9"/>
  <c r="K127" i="9" s="1"/>
  <c r="K126" i="9" s="1"/>
  <c r="K125" i="9"/>
  <c r="K124" i="9" s="1"/>
  <c r="K123" i="9"/>
  <c r="K122" i="9"/>
  <c r="K121" i="9" s="1"/>
  <c r="K120" i="9" s="1"/>
  <c r="K119" i="9" s="1"/>
  <c r="K118" i="9" s="1"/>
  <c r="F19" i="37" s="1"/>
  <c r="F18" i="37" s="1"/>
  <c r="K115" i="9"/>
  <c r="K114" i="9" s="1"/>
  <c r="K113" i="9" s="1"/>
  <c r="K112" i="9" s="1"/>
  <c r="K111" i="9" s="1"/>
  <c r="J116" i="9"/>
  <c r="K116" i="9"/>
  <c r="I116" i="9"/>
  <c r="J107" i="9"/>
  <c r="J106" i="9"/>
  <c r="K107" i="9"/>
  <c r="K106" i="9" s="1"/>
  <c r="K109" i="9"/>
  <c r="K108" i="9" s="1"/>
  <c r="I109" i="9"/>
  <c r="I108" i="9" s="1"/>
  <c r="K103" i="9"/>
  <c r="K102" i="9"/>
  <c r="K101" i="9" s="1"/>
  <c r="K100" i="9" s="1"/>
  <c r="I103" i="9"/>
  <c r="I102" i="9"/>
  <c r="I101" i="9" s="1"/>
  <c r="I100" i="9" s="1"/>
  <c r="K99" i="9"/>
  <c r="K98" i="9" s="1"/>
  <c r="K97" i="9"/>
  <c r="I99" i="9"/>
  <c r="I98" i="9" s="1"/>
  <c r="I97" i="9" s="1"/>
  <c r="K96" i="9"/>
  <c r="K95" i="9" s="1"/>
  <c r="K94" i="9" s="1"/>
  <c r="K93" i="9" s="1"/>
  <c r="K92" i="9"/>
  <c r="K91" i="9" s="1"/>
  <c r="K90" i="9" s="1"/>
  <c r="K89" i="9" s="1"/>
  <c r="K85" i="9"/>
  <c r="K86" i="9"/>
  <c r="K84" i="9" s="1"/>
  <c r="K88" i="9"/>
  <c r="K87" i="9" s="1"/>
  <c r="I88" i="9"/>
  <c r="I87" i="9"/>
  <c r="K81" i="9"/>
  <c r="K80" i="9" s="1"/>
  <c r="K79" i="9" s="1"/>
  <c r="I81" i="9"/>
  <c r="I80" i="9" s="1"/>
  <c r="I79" i="9" s="1"/>
  <c r="K78" i="9"/>
  <c r="K77" i="9" s="1"/>
  <c r="K76" i="9" s="1"/>
  <c r="K66" i="9" s="1"/>
  <c r="K65" i="9" s="1"/>
  <c r="I78" i="9"/>
  <c r="I77" i="9" s="1"/>
  <c r="I76" i="9" s="1"/>
  <c r="J75" i="9"/>
  <c r="J74" i="9" s="1"/>
  <c r="J73" i="9" s="1"/>
  <c r="K75" i="9"/>
  <c r="K74" i="9" s="1"/>
  <c r="K73" i="9" s="1"/>
  <c r="J69" i="9"/>
  <c r="J68" i="9" s="1"/>
  <c r="J67" i="9" s="1"/>
  <c r="K69" i="9"/>
  <c r="K72" i="9"/>
  <c r="K71" i="9" s="1"/>
  <c r="K70" i="9" s="1"/>
  <c r="J64" i="9"/>
  <c r="J63" i="9"/>
  <c r="J62" i="9"/>
  <c r="K64" i="9"/>
  <c r="K63" i="9"/>
  <c r="K62" i="9" s="1"/>
  <c r="J61" i="9"/>
  <c r="J60" i="9"/>
  <c r="K61" i="9"/>
  <c r="K60" i="9" s="1"/>
  <c r="K59" i="9"/>
  <c r="K58" i="9" s="1"/>
  <c r="I59" i="9"/>
  <c r="I58" i="9" s="1"/>
  <c r="J57" i="9"/>
  <c r="J56" i="9"/>
  <c r="K57" i="9"/>
  <c r="K56" i="9" s="1"/>
  <c r="I57" i="9"/>
  <c r="I56" i="9"/>
  <c r="J52" i="9"/>
  <c r="J51" i="9"/>
  <c r="J50" i="9" s="1"/>
  <c r="J49" i="9" s="1"/>
  <c r="J48" i="9"/>
  <c r="E14" i="37" s="1"/>
  <c r="K52" i="9"/>
  <c r="K51" i="9" s="1"/>
  <c r="K50" i="9"/>
  <c r="K49" i="9" s="1"/>
  <c r="K48" i="9" s="1"/>
  <c r="F14" i="37" s="1"/>
  <c r="I52" i="9"/>
  <c r="I51" i="9" s="1"/>
  <c r="I50" i="9" s="1"/>
  <c r="I49" i="9" s="1"/>
  <c r="I48" i="9" s="1"/>
  <c r="D14" i="37" s="1"/>
  <c r="K47" i="9"/>
  <c r="K46" i="9" s="1"/>
  <c r="K45" i="9"/>
  <c r="K44" i="9" s="1"/>
  <c r="K43" i="9" s="1"/>
  <c r="F13" i="37" s="1"/>
  <c r="K42" i="9"/>
  <c r="K41" i="9"/>
  <c r="I42" i="9"/>
  <c r="I41" i="9" s="1"/>
  <c r="K40" i="9"/>
  <c r="E15" i="32" s="1"/>
  <c r="K39" i="9"/>
  <c r="K38" i="9"/>
  <c r="K37" i="9"/>
  <c r="I38" i="9"/>
  <c r="I37" i="9" s="1"/>
  <c r="K36" i="9"/>
  <c r="K35" i="9"/>
  <c r="I36" i="9"/>
  <c r="I35" i="9" s="1"/>
  <c r="K29" i="9"/>
  <c r="K30" i="9"/>
  <c r="K31" i="9"/>
  <c r="I30" i="9"/>
  <c r="J26" i="9"/>
  <c r="K27" i="9"/>
  <c r="K26" i="9" s="1"/>
  <c r="I27" i="9"/>
  <c r="I26" i="9" s="1"/>
  <c r="K24" i="9"/>
  <c r="K23" i="9" s="1"/>
  <c r="K22" i="9" s="1"/>
  <c r="K19" i="9"/>
  <c r="I18" i="9"/>
  <c r="K17" i="9"/>
  <c r="I17" i="9"/>
  <c r="I311" i="9"/>
  <c r="I297" i="9"/>
  <c r="I296" i="9" s="1"/>
  <c r="I295" i="9" s="1"/>
  <c r="I283" i="9"/>
  <c r="I258" i="9"/>
  <c r="I241" i="9"/>
  <c r="I240" i="9"/>
  <c r="I239" i="9"/>
  <c r="D33" i="37" s="1"/>
  <c r="K227" i="2"/>
  <c r="K226" i="2" s="1"/>
  <c r="K225" i="2" s="1"/>
  <c r="K224" i="2" s="1"/>
  <c r="K223" i="2" s="1"/>
  <c r="L227" i="2"/>
  <c r="L226" i="2"/>
  <c r="L225" i="2"/>
  <c r="L224" i="2" s="1"/>
  <c r="L223" i="2" s="1"/>
  <c r="K228" i="2"/>
  <c r="J237" i="9" s="1"/>
  <c r="J236" i="9" s="1"/>
  <c r="J235" i="9" s="1"/>
  <c r="J234" i="9" s="1"/>
  <c r="J233" i="9" s="1"/>
  <c r="K323" i="2"/>
  <c r="J103" i="9" s="1"/>
  <c r="J102" i="9" s="1"/>
  <c r="J101" i="9" s="1"/>
  <c r="J100" i="9" s="1"/>
  <c r="K322" i="2"/>
  <c r="K321" i="2" s="1"/>
  <c r="K320" i="2" s="1"/>
  <c r="K319" i="2" s="1"/>
  <c r="K303" i="2"/>
  <c r="K302" i="2"/>
  <c r="K289" i="2"/>
  <c r="K288" i="2"/>
  <c r="K287" i="2" s="1"/>
  <c r="K286" i="2" s="1"/>
  <c r="K285" i="2"/>
  <c r="J294" i="9" s="1"/>
  <c r="J293" i="9" s="1"/>
  <c r="J292" i="9" s="1"/>
  <c r="J291" i="9" s="1"/>
  <c r="K275" i="2"/>
  <c r="K248" i="2"/>
  <c r="K247" i="2"/>
  <c r="K250" i="2"/>
  <c r="K249" i="2"/>
  <c r="K246" i="2"/>
  <c r="J68" i="28" s="1"/>
  <c r="K244" i="2"/>
  <c r="J66" i="28" s="1"/>
  <c r="K233" i="2"/>
  <c r="K232" i="2"/>
  <c r="K231" i="2" s="1"/>
  <c r="K230" i="2" s="1"/>
  <c r="K207" i="2"/>
  <c r="J216" i="9" s="1"/>
  <c r="L181" i="2"/>
  <c r="L178" i="2" s="1"/>
  <c r="L177" i="2" s="1"/>
  <c r="L176" i="2" s="1"/>
  <c r="L164" i="2"/>
  <c r="L163" i="2" s="1"/>
  <c r="L158" i="2"/>
  <c r="K107" i="2"/>
  <c r="K100" i="2"/>
  <c r="J109" i="9" s="1"/>
  <c r="J108" i="9" s="1"/>
  <c r="K99" i="2"/>
  <c r="K94" i="2"/>
  <c r="L89" i="2"/>
  <c r="L88" i="2" s="1"/>
  <c r="K75" i="2"/>
  <c r="L15" i="2"/>
  <c r="L14" i="2" s="1"/>
  <c r="L29" i="2"/>
  <c r="L31" i="2"/>
  <c r="L25" i="2" s="1"/>
  <c r="L24" i="2" s="1"/>
  <c r="L33" i="2"/>
  <c r="L35" i="2"/>
  <c r="L40" i="2"/>
  <c r="L45" i="2"/>
  <c r="L44" i="2" s="1"/>
  <c r="L43" i="2" s="1"/>
  <c r="L42" i="2" s="1"/>
  <c r="L50" i="2"/>
  <c r="L52" i="2"/>
  <c r="L54" i="2"/>
  <c r="L57" i="2"/>
  <c r="L62" i="2"/>
  <c r="L65" i="2"/>
  <c r="L68" i="2"/>
  <c r="L71" i="2"/>
  <c r="L74" i="2"/>
  <c r="L73" i="2" s="1"/>
  <c r="L81" i="2"/>
  <c r="L85" i="2"/>
  <c r="L84" i="2"/>
  <c r="L83" i="2"/>
  <c r="L93" i="2"/>
  <c r="L92" i="2" s="1"/>
  <c r="L91" i="2" s="1"/>
  <c r="L97" i="2"/>
  <c r="L99" i="2"/>
  <c r="L105" i="2"/>
  <c r="L112" i="2"/>
  <c r="L111" i="2" s="1"/>
  <c r="L110" i="2" s="1"/>
  <c r="L109" i="2" s="1"/>
  <c r="L108" i="2" s="1"/>
  <c r="L115" i="2"/>
  <c r="L114" i="2" s="1"/>
  <c r="L119" i="2"/>
  <c r="L118" i="2"/>
  <c r="L117" i="2"/>
  <c r="K125" i="2"/>
  <c r="L124" i="2"/>
  <c r="L123" i="2"/>
  <c r="L130" i="2"/>
  <c r="L132" i="2"/>
  <c r="L134" i="2"/>
  <c r="L129" i="2" s="1"/>
  <c r="L128" i="2" s="1"/>
  <c r="L127" i="2" s="1"/>
  <c r="L126" i="2" s="1"/>
  <c r="L136" i="2"/>
  <c r="L138" i="2"/>
  <c r="L140" i="2"/>
  <c r="L149" i="2"/>
  <c r="L148" i="2"/>
  <c r="K164" i="2"/>
  <c r="K163" i="2" s="1"/>
  <c r="K169" i="2"/>
  <c r="K168" i="2" s="1"/>
  <c r="K167" i="2" s="1"/>
  <c r="K174" i="2"/>
  <c r="K173" i="2"/>
  <c r="K172" i="2" s="1"/>
  <c r="K171" i="2" s="1"/>
  <c r="L174" i="2"/>
  <c r="L173" i="2"/>
  <c r="K180" i="2"/>
  <c r="K179" i="2"/>
  <c r="L179" i="2"/>
  <c r="K181" i="2"/>
  <c r="L184" i="2"/>
  <c r="L187" i="2"/>
  <c r="L189" i="2"/>
  <c r="L191" i="2"/>
  <c r="L193" i="2"/>
  <c r="L195" i="2"/>
  <c r="L197" i="2"/>
  <c r="L201" i="2"/>
  <c r="L206" i="2"/>
  <c r="L205" i="2"/>
  <c r="L204" i="2" s="1"/>
  <c r="L221" i="2"/>
  <c r="L220" i="2" s="1"/>
  <c r="L232" i="2"/>
  <c r="L231" i="2"/>
  <c r="L237" i="2"/>
  <c r="L236" i="2"/>
  <c r="L243" i="2"/>
  <c r="L249" i="2"/>
  <c r="L247" i="2"/>
  <c r="L252" i="2"/>
  <c r="L257" i="2"/>
  <c r="L261" i="2"/>
  <c r="L265" i="2"/>
  <c r="L267" i="2"/>
  <c r="L269" i="2"/>
  <c r="K274" i="2"/>
  <c r="L274" i="2"/>
  <c r="K284" i="2"/>
  <c r="K283" i="2" s="1"/>
  <c r="K282" i="2" s="1"/>
  <c r="L284" i="2"/>
  <c r="L283" i="2"/>
  <c r="L282" i="2"/>
  <c r="L288" i="2"/>
  <c r="L287" i="2"/>
  <c r="L286" i="2" s="1"/>
  <c r="L292" i="2"/>
  <c r="L298" i="2"/>
  <c r="L300" i="2"/>
  <c r="L302" i="2"/>
  <c r="L308" i="2"/>
  <c r="L307" i="2" s="1"/>
  <c r="L306" i="2" s="1"/>
  <c r="L305" i="2"/>
  <c r="L304" i="2" s="1"/>
  <c r="L315" i="2"/>
  <c r="K318" i="2"/>
  <c r="L317" i="2"/>
  <c r="L322" i="2"/>
  <c r="L321" i="2"/>
  <c r="L320" i="2" s="1"/>
  <c r="L319" i="2" s="1"/>
  <c r="J322" i="2"/>
  <c r="J321" i="2"/>
  <c r="J320" i="2"/>
  <c r="J319" i="2"/>
  <c r="J318" i="2"/>
  <c r="I19" i="9" s="1"/>
  <c r="J317" i="2"/>
  <c r="J316" i="2"/>
  <c r="J315" i="2" s="1"/>
  <c r="J314" i="2" s="1"/>
  <c r="J313" i="2" s="1"/>
  <c r="J312" i="2" s="1"/>
  <c r="J311" i="2" s="1"/>
  <c r="J310" i="2" s="1"/>
  <c r="J309" i="2"/>
  <c r="J302" i="2"/>
  <c r="J301" i="2"/>
  <c r="J300" i="2"/>
  <c r="J299" i="2"/>
  <c r="J293" i="2"/>
  <c r="J292" i="2"/>
  <c r="J288" i="2"/>
  <c r="J287" i="2"/>
  <c r="J286" i="2"/>
  <c r="J281" i="2" s="1"/>
  <c r="J280" i="2" s="1"/>
  <c r="J284" i="2"/>
  <c r="J283" i="2"/>
  <c r="J282" i="2"/>
  <c r="J279" i="2"/>
  <c r="J278" i="2"/>
  <c r="J277" i="2"/>
  <c r="J274" i="2"/>
  <c r="J270" i="2"/>
  <c r="I279" i="9" s="1"/>
  <c r="I278" i="9" s="1"/>
  <c r="J268" i="2"/>
  <c r="J266" i="2"/>
  <c r="J265" i="2"/>
  <c r="J262" i="2"/>
  <c r="J261" i="2" s="1"/>
  <c r="J260" i="2" s="1"/>
  <c r="J259" i="2" s="1"/>
  <c r="J258" i="2"/>
  <c r="J257" i="2"/>
  <c r="J256" i="2"/>
  <c r="J255" i="2" s="1"/>
  <c r="J254" i="2" s="1"/>
  <c r="J253" i="2"/>
  <c r="J252" i="2" s="1"/>
  <c r="J251" i="2" s="1"/>
  <c r="J247" i="2"/>
  <c r="J249" i="2"/>
  <c r="J245" i="2"/>
  <c r="J238" i="2"/>
  <c r="I247" i="9" s="1"/>
  <c r="I246" i="9" s="1"/>
  <c r="I245" i="9" s="1"/>
  <c r="I244" i="9" s="1"/>
  <c r="I243" i="9" s="1"/>
  <c r="D34" i="37" s="1"/>
  <c r="J232" i="2"/>
  <c r="J231" i="2"/>
  <c r="J230" i="2"/>
  <c r="J227" i="2"/>
  <c r="J226" i="2" s="1"/>
  <c r="J225" i="2" s="1"/>
  <c r="J224" i="2" s="1"/>
  <c r="J223" i="2" s="1"/>
  <c r="J222" i="2"/>
  <c r="J221" i="2"/>
  <c r="J220" i="2" s="1"/>
  <c r="J219" i="2"/>
  <c r="J214" i="2"/>
  <c r="J213" i="2"/>
  <c r="K213" i="2"/>
  <c r="J212" i="2"/>
  <c r="J206" i="2"/>
  <c r="J205" i="2"/>
  <c r="J204" i="2" s="1"/>
  <c r="J202" i="2"/>
  <c r="J200" i="2"/>
  <c r="I209" i="9" s="1"/>
  <c r="I208" i="9" s="1"/>
  <c r="J198" i="2"/>
  <c r="I207" i="9" s="1"/>
  <c r="I206" i="9" s="1"/>
  <c r="J197" i="2"/>
  <c r="J196" i="2"/>
  <c r="J195" i="2"/>
  <c r="J194" i="2"/>
  <c r="J193" i="2"/>
  <c r="J192" i="2"/>
  <c r="I40" i="28" s="1"/>
  <c r="J191" i="2"/>
  <c r="J190" i="2"/>
  <c r="J189" i="2"/>
  <c r="J188" i="2"/>
  <c r="J187" i="2"/>
  <c r="J185" i="2"/>
  <c r="I36" i="28" s="1"/>
  <c r="J184" i="2"/>
  <c r="J182" i="2"/>
  <c r="J180" i="2"/>
  <c r="J174" i="2"/>
  <c r="J173" i="2" s="1"/>
  <c r="J172" i="2" s="1"/>
  <c r="J170" i="2"/>
  <c r="J169" i="2"/>
  <c r="J168" i="2"/>
  <c r="J167" i="2"/>
  <c r="J165" i="2"/>
  <c r="J162" i="2"/>
  <c r="K161" i="2"/>
  <c r="J159" i="2"/>
  <c r="I56" i="28" s="1"/>
  <c r="J158" i="2"/>
  <c r="J156" i="2"/>
  <c r="J150" i="2"/>
  <c r="J149" i="2"/>
  <c r="J148" i="2" s="1"/>
  <c r="J146" i="2"/>
  <c r="J141" i="2"/>
  <c r="J140" i="2"/>
  <c r="J139" i="2"/>
  <c r="J138" i="2" s="1"/>
  <c r="J137" i="2"/>
  <c r="J136" i="2"/>
  <c r="J135" i="2"/>
  <c r="J133" i="2"/>
  <c r="I27" i="28" s="1"/>
  <c r="J131" i="2"/>
  <c r="J130" i="2"/>
  <c r="J125" i="2"/>
  <c r="I23" i="28" s="1"/>
  <c r="I22" i="28" s="1"/>
  <c r="J124" i="2"/>
  <c r="J123" i="2" s="1"/>
  <c r="J120" i="2"/>
  <c r="I129" i="9" s="1"/>
  <c r="C14" i="32" s="1"/>
  <c r="J119" i="2"/>
  <c r="J118" i="2" s="1"/>
  <c r="J117" i="2" s="1"/>
  <c r="J116" i="2"/>
  <c r="J113" i="2"/>
  <c r="J106" i="2"/>
  <c r="I115" i="9" s="1"/>
  <c r="J105" i="2"/>
  <c r="J104" i="2" s="1"/>
  <c r="J99" i="2"/>
  <c r="J98" i="2"/>
  <c r="I107" i="9" s="1"/>
  <c r="I106" i="9" s="1"/>
  <c r="J93" i="2"/>
  <c r="J92" i="2" s="1"/>
  <c r="J91" i="2" s="1"/>
  <c r="J90" i="2"/>
  <c r="J86" i="2"/>
  <c r="I109" i="28" s="1"/>
  <c r="J85" i="2"/>
  <c r="J84" i="2"/>
  <c r="J83" i="2" s="1"/>
  <c r="J82" i="2"/>
  <c r="I104" i="28" s="1"/>
  <c r="J81" i="2"/>
  <c r="J80" i="2"/>
  <c r="K80" i="2"/>
  <c r="J103" i="28" s="1"/>
  <c r="J79" i="2"/>
  <c r="J74" i="2"/>
  <c r="J72" i="2"/>
  <c r="I90" i="28" s="1"/>
  <c r="I89" i="28" s="1"/>
  <c r="K72" i="2"/>
  <c r="J90" i="28" s="1"/>
  <c r="J89" i="28" s="1"/>
  <c r="J69" i="2"/>
  <c r="I88" i="28" s="1"/>
  <c r="I87" i="28" s="1"/>
  <c r="J66" i="2"/>
  <c r="J63" i="2"/>
  <c r="J58" i="2"/>
  <c r="I16" i="28" s="1"/>
  <c r="I15" i="28" s="1"/>
  <c r="J57" i="2"/>
  <c r="J56" i="2" s="1"/>
  <c r="J55" i="2"/>
  <c r="J53" i="2"/>
  <c r="J51" i="2"/>
  <c r="I12" i="28" s="1"/>
  <c r="K50" i="2"/>
  <c r="J46" i="2"/>
  <c r="J45" i="2"/>
  <c r="J44" i="2" s="1"/>
  <c r="J43" i="2" s="1"/>
  <c r="J42" i="2" s="1"/>
  <c r="J41" i="2"/>
  <c r="C11" i="32" s="1"/>
  <c r="J36" i="2"/>
  <c r="C12" i="32" s="1"/>
  <c r="J34" i="2"/>
  <c r="I40" i="9" s="1"/>
  <c r="J33" i="2"/>
  <c r="J32" i="2"/>
  <c r="J30" i="2"/>
  <c r="C13" i="32" s="1"/>
  <c r="J29" i="2"/>
  <c r="J23" i="2"/>
  <c r="I31" i="9" s="1"/>
  <c r="J22" i="2"/>
  <c r="J20" i="2" s="1"/>
  <c r="K22" i="2"/>
  <c r="J30" i="9" s="1"/>
  <c r="J21" i="2"/>
  <c r="I29" i="9" s="1"/>
  <c r="I28" i="9" s="1"/>
  <c r="I25" i="9" s="1"/>
  <c r="J19" i="2"/>
  <c r="K19" i="2"/>
  <c r="J27" i="9" s="1"/>
  <c r="J16" i="2"/>
  <c r="I24" i="9" s="1"/>
  <c r="I23" i="9" s="1"/>
  <c r="I22" i="9" s="1"/>
  <c r="K16" i="2"/>
  <c r="D32" i="35"/>
  <c r="D33" i="35"/>
  <c r="D24" i="35"/>
  <c r="E40" i="36"/>
  <c r="C40" i="36"/>
  <c r="C39" i="36" s="1"/>
  <c r="E44" i="36"/>
  <c r="D14" i="36"/>
  <c r="D13" i="36" s="1"/>
  <c r="D12" i="36" s="1"/>
  <c r="D15" i="36"/>
  <c r="D16" i="36"/>
  <c r="D22" i="36"/>
  <c r="D25" i="36"/>
  <c r="D27" i="36"/>
  <c r="D30" i="36"/>
  <c r="D29" i="36" s="1"/>
  <c r="D28" i="36" s="1"/>
  <c r="D32" i="36"/>
  <c r="D31" i="36" s="1"/>
  <c r="D35" i="36"/>
  <c r="D34" i="36"/>
  <c r="D33" i="36"/>
  <c r="D38" i="36"/>
  <c r="D37" i="36" s="1"/>
  <c r="D36" i="36" s="1"/>
  <c r="D41" i="36"/>
  <c r="D40" i="36"/>
  <c r="D39" i="36" s="1"/>
  <c r="C42" i="36"/>
  <c r="D43" i="36"/>
  <c r="D42" i="36" s="1"/>
  <c r="D45" i="36"/>
  <c r="D44" i="36"/>
  <c r="D47" i="36"/>
  <c r="D46" i="36"/>
  <c r="D56" i="36"/>
  <c r="D57" i="36"/>
  <c r="D58" i="36"/>
  <c r="D55" i="36"/>
  <c r="D54" i="36" s="1"/>
  <c r="D53" i="36" s="1"/>
  <c r="E54" i="36"/>
  <c r="D36" i="35" s="1"/>
  <c r="E53" i="36"/>
  <c r="C54" i="36"/>
  <c r="C53" i="36" s="1"/>
  <c r="D61" i="36"/>
  <c r="D60" i="36"/>
  <c r="D59" i="36" s="1"/>
  <c r="D63" i="36"/>
  <c r="D62" i="36" s="1"/>
  <c r="D67" i="36"/>
  <c r="D65" i="36" s="1"/>
  <c r="D64" i="36" s="1"/>
  <c r="D18" i="36"/>
  <c r="D17" i="36" s="1"/>
  <c r="D21" i="36"/>
  <c r="D24" i="36"/>
  <c r="D26" i="36"/>
  <c r="D51" i="36"/>
  <c r="D50" i="36" s="1"/>
  <c r="D69" i="36"/>
  <c r="D68" i="36"/>
  <c r="D37" i="35"/>
  <c r="D28" i="35"/>
  <c r="D19" i="35"/>
  <c r="C65" i="36"/>
  <c r="C64" i="36"/>
  <c r="E60" i="36"/>
  <c r="E59" i="36" s="1"/>
  <c r="C60" i="36"/>
  <c r="C13" i="36"/>
  <c r="C12" i="36" s="1"/>
  <c r="E18" i="36"/>
  <c r="E17" i="36"/>
  <c r="C18" i="36"/>
  <c r="C17" i="36" s="1"/>
  <c r="E5" i="38"/>
  <c r="D5" i="30"/>
  <c r="L5" i="29"/>
  <c r="E5" i="39"/>
  <c r="K5" i="28"/>
  <c r="L5" i="2"/>
  <c r="K5" i="9"/>
  <c r="F5" i="37"/>
  <c r="E5" i="32"/>
  <c r="E5" i="36"/>
  <c r="D16" i="35"/>
  <c r="D15" i="35" s="1"/>
  <c r="D17" i="35"/>
  <c r="D18" i="35"/>
  <c r="D20" i="35"/>
  <c r="D21" i="35"/>
  <c r="D22" i="35"/>
  <c r="D23" i="35"/>
  <c r="D29" i="35"/>
  <c r="D27" i="35" s="1"/>
  <c r="D30" i="35"/>
  <c r="D31" i="35"/>
  <c r="D34" i="35"/>
  <c r="D35" i="35"/>
  <c r="D38" i="35"/>
  <c r="D40" i="35"/>
  <c r="E24" i="36"/>
  <c r="E73" i="36"/>
  <c r="E72" i="36" s="1"/>
  <c r="E71" i="36" s="1"/>
  <c r="C73" i="36"/>
  <c r="C72" i="36"/>
  <c r="C71" i="36"/>
  <c r="C69" i="36"/>
  <c r="C68" i="36" s="1"/>
  <c r="C44" i="36"/>
  <c r="E46" i="36"/>
  <c r="E42" i="36"/>
  <c r="E39" i="36" s="1"/>
  <c r="E37" i="36"/>
  <c r="E36" i="36" s="1"/>
  <c r="C37" i="36"/>
  <c r="C36" i="36"/>
  <c r="E31" i="36"/>
  <c r="E21" i="36"/>
  <c r="E69" i="36"/>
  <c r="E68" i="36" s="1"/>
  <c r="E62" i="36"/>
  <c r="E51" i="36"/>
  <c r="E50" i="36" s="1"/>
  <c r="E49" i="36" s="1"/>
  <c r="E48" i="36" s="1"/>
  <c r="E34" i="36"/>
  <c r="E26" i="36"/>
  <c r="C46" i="36"/>
  <c r="D25" i="35"/>
  <c r="C62" i="36"/>
  <c r="C51" i="36"/>
  <c r="C50" i="36"/>
  <c r="C34" i="36"/>
  <c r="C31" i="36"/>
  <c r="C29" i="36"/>
  <c r="C28" i="36" s="1"/>
  <c r="C26" i="36"/>
  <c r="C23" i="36" s="1"/>
  <c r="C24" i="36"/>
  <c r="C21" i="36"/>
  <c r="D17" i="30"/>
  <c r="D15" i="30"/>
  <c r="D14" i="30"/>
  <c r="E29" i="36"/>
  <c r="E28" i="36" s="1"/>
  <c r="E13" i="36"/>
  <c r="E12" i="36"/>
  <c r="E23" i="36"/>
  <c r="E13" i="39" s="1"/>
  <c r="E16" i="39" s="1"/>
  <c r="E20" i="36"/>
  <c r="E65" i="36"/>
  <c r="E64" i="36" s="1"/>
  <c r="D39" i="35" s="1"/>
  <c r="K108" i="28"/>
  <c r="K107" i="28"/>
  <c r="K112" i="28"/>
  <c r="K111" i="28"/>
  <c r="K93" i="28"/>
  <c r="K101" i="28"/>
  <c r="K59" i="28"/>
  <c r="K71" i="28"/>
  <c r="K65" i="28"/>
  <c r="J59" i="28"/>
  <c r="J52" i="28" s="1"/>
  <c r="K75" i="28"/>
  <c r="K55" i="28"/>
  <c r="J55" i="28"/>
  <c r="K37" i="28"/>
  <c r="K24" i="28" s="1"/>
  <c r="K122" i="28" s="1"/>
  <c r="K46" i="28"/>
  <c r="K25" i="28"/>
  <c r="K32" i="28"/>
  <c r="K17" i="28"/>
  <c r="K11" i="28"/>
  <c r="K10" i="28"/>
  <c r="I118" i="28"/>
  <c r="K252" i="9"/>
  <c r="K251" i="9"/>
  <c r="K250" i="9" s="1"/>
  <c r="K195" i="9"/>
  <c r="K220" i="9"/>
  <c r="K219" i="9" s="1"/>
  <c r="K218" i="9" s="1"/>
  <c r="J167" i="9"/>
  <c r="J166" i="9"/>
  <c r="K190" i="9"/>
  <c r="J173" i="9"/>
  <c r="J172" i="9"/>
  <c r="K167" i="9"/>
  <c r="K166" i="9" s="1"/>
  <c r="K162" i="9" s="1"/>
  <c r="K161" i="9" s="1"/>
  <c r="J190" i="9"/>
  <c r="K137" i="9"/>
  <c r="K136" i="9" s="1"/>
  <c r="K55" i="9"/>
  <c r="K54" i="9" s="1"/>
  <c r="K33" i="9"/>
  <c r="K32" i="9" s="1"/>
  <c r="I114" i="9"/>
  <c r="I113" i="9" s="1"/>
  <c r="I112" i="9" s="1"/>
  <c r="I111" i="9" s="1"/>
  <c r="D17" i="37" s="1"/>
  <c r="I110" i="9"/>
  <c r="I212" i="9"/>
  <c r="I16" i="9"/>
  <c r="I15" i="9"/>
  <c r="I14" i="9" s="1"/>
  <c r="I13" i="9" s="1"/>
  <c r="L264" i="2"/>
  <c r="L263" i="2" s="1"/>
  <c r="L251" i="2"/>
  <c r="K293" i="2"/>
  <c r="K301" i="2"/>
  <c r="K316" i="2"/>
  <c r="J17" i="9" s="1"/>
  <c r="K315" i="2"/>
  <c r="K266" i="2"/>
  <c r="J275" i="9" s="1"/>
  <c r="J274" i="9" s="1"/>
  <c r="K265" i="2"/>
  <c r="K261" i="2"/>
  <c r="K260" i="2" s="1"/>
  <c r="K259" i="2" s="1"/>
  <c r="K238" i="2"/>
  <c r="K237" i="2"/>
  <c r="K236" i="2"/>
  <c r="K235" i="2" s="1"/>
  <c r="K234" i="2" s="1"/>
  <c r="K258" i="2"/>
  <c r="K243" i="2"/>
  <c r="K242" i="2" s="1"/>
  <c r="K222" i="2"/>
  <c r="K221" i="2" s="1"/>
  <c r="K220" i="2" s="1"/>
  <c r="J203" i="2"/>
  <c r="K219" i="2"/>
  <c r="K218" i="2" s="1"/>
  <c r="K217" i="2" s="1"/>
  <c r="K216" i="2" s="1"/>
  <c r="K215" i="2" s="1"/>
  <c r="K202" i="2"/>
  <c r="K201" i="2"/>
  <c r="K198" i="2"/>
  <c r="J43" i="28" s="1"/>
  <c r="K158" i="2"/>
  <c r="K157" i="2" s="1"/>
  <c r="K199" i="2"/>
  <c r="K189" i="2"/>
  <c r="K192" i="2"/>
  <c r="K193" i="2"/>
  <c r="K145" i="2"/>
  <c r="K144" i="2" s="1"/>
  <c r="K143" i="2"/>
  <c r="K142" i="2"/>
  <c r="K184" i="2"/>
  <c r="K178" i="2" s="1"/>
  <c r="K155" i="2"/>
  <c r="K154" i="2" s="1"/>
  <c r="K153" i="2" s="1"/>
  <c r="K152" i="2" s="1"/>
  <c r="K187" i="2"/>
  <c r="K139" i="2"/>
  <c r="K138" i="2"/>
  <c r="K133" i="2"/>
  <c r="K120" i="2"/>
  <c r="K131" i="2"/>
  <c r="K106" i="2"/>
  <c r="J115" i="9" s="1"/>
  <c r="J114" i="9" s="1"/>
  <c r="J113" i="9" s="1"/>
  <c r="J112" i="9" s="1"/>
  <c r="J111" i="9" s="1"/>
  <c r="K97" i="2"/>
  <c r="J89" i="2"/>
  <c r="J88" i="2" s="1"/>
  <c r="J87" i="2" s="1"/>
  <c r="J112" i="2"/>
  <c r="J111" i="2" s="1"/>
  <c r="L169" i="2"/>
  <c r="L168" i="2" s="1"/>
  <c r="L167" i="2"/>
  <c r="L152" i="2" s="1"/>
  <c r="K34" i="2"/>
  <c r="J291" i="2"/>
  <c r="J290" i="2"/>
  <c r="K82" i="2"/>
  <c r="K81" i="2"/>
  <c r="L87" i="2"/>
  <c r="L291" i="2"/>
  <c r="L290" i="2" s="1"/>
  <c r="K54" i="2"/>
  <c r="J71" i="2"/>
  <c r="J70" i="2" s="1"/>
  <c r="J218" i="2"/>
  <c r="J217" i="2" s="1"/>
  <c r="J216" i="2"/>
  <c r="J215" i="2" s="1"/>
  <c r="J208" i="2" s="1"/>
  <c r="L218" i="2"/>
  <c r="L217" i="2" s="1"/>
  <c r="L216" i="2" s="1"/>
  <c r="L215" i="2" s="1"/>
  <c r="L208" i="2" s="1"/>
  <c r="L70" i="2"/>
  <c r="K21" i="2"/>
  <c r="J29" i="9" s="1"/>
  <c r="K62" i="2"/>
  <c r="K61" i="2" s="1"/>
  <c r="K45" i="2"/>
  <c r="K44" i="2"/>
  <c r="K43" i="2" s="1"/>
  <c r="K42" i="2" s="1"/>
  <c r="K68" i="2"/>
  <c r="K67" i="2"/>
  <c r="J35" i="2"/>
  <c r="J50" i="2"/>
  <c r="K57" i="2"/>
  <c r="K56" i="2" s="1"/>
  <c r="J161" i="2"/>
  <c r="L172" i="2"/>
  <c r="L171" i="2" s="1"/>
  <c r="K23" i="2"/>
  <c r="J31" i="9" s="1"/>
  <c r="J15" i="2"/>
  <c r="J14" i="2" s="1"/>
  <c r="J13" i="2" s="1"/>
  <c r="K41" i="2"/>
  <c r="K40" i="2"/>
  <c r="K39" i="2"/>
  <c r="K38" i="2" s="1"/>
  <c r="K37" i="2" s="1"/>
  <c r="L199" i="2"/>
  <c r="L186" i="2"/>
  <c r="L145" i="2"/>
  <c r="L144" i="2"/>
  <c r="L143" i="2"/>
  <c r="L142" i="2" s="1"/>
  <c r="L314" i="2"/>
  <c r="L313" i="2"/>
  <c r="L312" i="2"/>
  <c r="L311" i="2" s="1"/>
  <c r="L310" i="2" s="1"/>
  <c r="L242" i="2"/>
  <c r="L241" i="2" s="1"/>
  <c r="L211" i="2"/>
  <c r="L210" i="2"/>
  <c r="L209" i="2" s="1"/>
  <c r="K30" i="2"/>
  <c r="K29" i="2"/>
  <c r="L260" i="2"/>
  <c r="L259" i="2"/>
  <c r="J73" i="2"/>
  <c r="L278" i="2"/>
  <c r="J199" i="2"/>
  <c r="L297" i="2"/>
  <c r="L296" i="2" s="1"/>
  <c r="L295" i="2" s="1"/>
  <c r="L294" i="2" s="1"/>
  <c r="L161" i="2"/>
  <c r="L157" i="2"/>
  <c r="L147" i="2"/>
  <c r="L96" i="2"/>
  <c r="L95" i="2" s="1"/>
  <c r="J18" i="2"/>
  <c r="J78" i="2"/>
  <c r="L256" i="2"/>
  <c r="L255" i="2"/>
  <c r="L230" i="2"/>
  <c r="L229" i="2" s="1"/>
  <c r="L67" i="2"/>
  <c r="L61" i="2"/>
  <c r="K68" i="9"/>
  <c r="K67" i="9"/>
  <c r="J211" i="2"/>
  <c r="J210" i="2"/>
  <c r="J209" i="2"/>
  <c r="L78" i="2"/>
  <c r="L77" i="2"/>
  <c r="L76" i="2"/>
  <c r="L203" i="2"/>
  <c r="L122" i="2"/>
  <c r="L121" i="2"/>
  <c r="L56" i="2"/>
  <c r="L20" i="2"/>
  <c r="L17" i="2" s="1"/>
  <c r="L276" i="2"/>
  <c r="L18" i="2"/>
  <c r="L49" i="2"/>
  <c r="L39" i="2"/>
  <c r="L38" i="2"/>
  <c r="L37" i="2"/>
  <c r="L155" i="2"/>
  <c r="L154" i="2"/>
  <c r="L104" i="2"/>
  <c r="L103" i="2"/>
  <c r="L64" i="2"/>
  <c r="J171" i="2"/>
  <c r="J122" i="2"/>
  <c r="J121" i="2" s="1"/>
  <c r="J276" i="2"/>
  <c r="J273" i="2" s="1"/>
  <c r="J272" i="2" s="1"/>
  <c r="J271" i="2" s="1"/>
  <c r="J103" i="2"/>
  <c r="J102" i="2" s="1"/>
  <c r="J101" i="2" s="1"/>
  <c r="J147" i="2"/>
  <c r="D30" i="37"/>
  <c r="K52" i="28"/>
  <c r="K217" i="9"/>
  <c r="F29" i="37" s="1"/>
  <c r="J162" i="9"/>
  <c r="J161" i="9" s="1"/>
  <c r="L235" i="2"/>
  <c r="L234" i="2"/>
  <c r="L153" i="2"/>
  <c r="J77" i="2"/>
  <c r="J76" i="2"/>
  <c r="L273" i="2"/>
  <c r="L272" i="2" s="1"/>
  <c r="L271" i="2" s="1"/>
  <c r="K20" i="2"/>
  <c r="J17" i="2"/>
  <c r="D32" i="37"/>
  <c r="L254" i="2"/>
  <c r="L102" i="2"/>
  <c r="L101" i="2"/>
  <c r="D16" i="37"/>
  <c r="K18" i="9"/>
  <c r="K16" i="9"/>
  <c r="K15" i="9"/>
  <c r="K14" i="9"/>
  <c r="K13" i="9" s="1"/>
  <c r="E26" i="37" l="1"/>
  <c r="F26" i="37"/>
  <c r="F25" i="37" s="1"/>
  <c r="E17" i="37"/>
  <c r="E16" i="37" s="1"/>
  <c r="J110" i="9"/>
  <c r="L240" i="2"/>
  <c r="L239" i="2" s="1"/>
  <c r="I166" i="9"/>
  <c r="L13" i="2"/>
  <c r="L12" i="2" s="1"/>
  <c r="L151" i="2"/>
  <c r="L60" i="2"/>
  <c r="L59" i="2" s="1"/>
  <c r="F17" i="37"/>
  <c r="F16" i="37" s="1"/>
  <c r="K110" i="9"/>
  <c r="J40" i="9"/>
  <c r="K33" i="2"/>
  <c r="J40" i="28"/>
  <c r="J201" i="9"/>
  <c r="J200" i="9" s="1"/>
  <c r="K191" i="2"/>
  <c r="J267" i="9"/>
  <c r="J266" i="9" s="1"/>
  <c r="J265" i="9" s="1"/>
  <c r="J264" i="9" s="1"/>
  <c r="J263" i="9" s="1"/>
  <c r="J100" i="28"/>
  <c r="J99" i="28" s="1"/>
  <c r="J98" i="28" s="1"/>
  <c r="K257" i="2"/>
  <c r="K256" i="2" s="1"/>
  <c r="K255" i="2" s="1"/>
  <c r="K254" i="2" s="1"/>
  <c r="J77" i="28"/>
  <c r="J310" i="9"/>
  <c r="J309" i="9" s="1"/>
  <c r="K300" i="2"/>
  <c r="I21" i="28"/>
  <c r="I20" i="28" s="1"/>
  <c r="J115" i="2"/>
  <c r="J114" i="2" s="1"/>
  <c r="K116" i="2"/>
  <c r="I125" i="9"/>
  <c r="I124" i="9" s="1"/>
  <c r="I123" i="9" s="1"/>
  <c r="J23" i="28"/>
  <c r="J22" i="28" s="1"/>
  <c r="J134" i="9"/>
  <c r="J133" i="9" s="1"/>
  <c r="J132" i="9" s="1"/>
  <c r="J131" i="9" s="1"/>
  <c r="J130" i="9" s="1"/>
  <c r="E20" i="37" s="1"/>
  <c r="D11" i="32"/>
  <c r="J47" i="9"/>
  <c r="J46" i="9" s="1"/>
  <c r="J45" i="9" s="1"/>
  <c r="J44" i="9" s="1"/>
  <c r="J43" i="9" s="1"/>
  <c r="E13" i="37" s="1"/>
  <c r="K96" i="2"/>
  <c r="K95" i="2" s="1"/>
  <c r="J45" i="28"/>
  <c r="J211" i="9"/>
  <c r="J210" i="9" s="1"/>
  <c r="D11" i="37"/>
  <c r="I102" i="28"/>
  <c r="I85" i="9"/>
  <c r="K79" i="2"/>
  <c r="I144" i="9"/>
  <c r="I143" i="9" s="1"/>
  <c r="K135" i="2"/>
  <c r="I28" i="28"/>
  <c r="J134" i="2"/>
  <c r="J157" i="2"/>
  <c r="I67" i="28"/>
  <c r="I65" i="28" s="1"/>
  <c r="J243" i="2"/>
  <c r="J242" i="2" s="1"/>
  <c r="J241" i="2" s="1"/>
  <c r="I254" i="9"/>
  <c r="K15" i="29"/>
  <c r="K14" i="29" s="1"/>
  <c r="K13" i="29" s="1"/>
  <c r="K12" i="29" s="1"/>
  <c r="K11" i="29" s="1"/>
  <c r="K10" i="29" s="1"/>
  <c r="J298" i="9"/>
  <c r="J297" i="9" s="1"/>
  <c r="J296" i="9" s="1"/>
  <c r="J295" i="9" s="1"/>
  <c r="K83" i="9"/>
  <c r="K82" i="9" s="1"/>
  <c r="K53" i="9" s="1"/>
  <c r="F15" i="37" s="1"/>
  <c r="K15" i="2"/>
  <c r="K14" i="2" s="1"/>
  <c r="J24" i="9"/>
  <c r="J23" i="9" s="1"/>
  <c r="J22" i="9" s="1"/>
  <c r="J21" i="9" s="1"/>
  <c r="C15" i="32"/>
  <c r="I39" i="9"/>
  <c r="I33" i="9" s="1"/>
  <c r="I32" i="9" s="1"/>
  <c r="I86" i="28"/>
  <c r="I85" i="28" s="1"/>
  <c r="I72" i="9"/>
  <c r="I71" i="9" s="1"/>
  <c r="I70" i="9" s="1"/>
  <c r="J65" i="2"/>
  <c r="J64" i="2" s="1"/>
  <c r="K66" i="2"/>
  <c r="I73" i="28"/>
  <c r="I286" i="9"/>
  <c r="I285" i="9" s="1"/>
  <c r="K277" i="2"/>
  <c r="L281" i="2"/>
  <c r="L280" i="2" s="1"/>
  <c r="K229" i="2"/>
  <c r="J25" i="9"/>
  <c r="J27" i="28"/>
  <c r="K132" i="2"/>
  <c r="J142" i="9"/>
  <c r="J141" i="9" s="1"/>
  <c r="I33" i="28"/>
  <c r="I189" i="9"/>
  <c r="I188" i="9" s="1"/>
  <c r="J179" i="2"/>
  <c r="J117" i="28"/>
  <c r="J116" i="28" s="1"/>
  <c r="J115" i="28" s="1"/>
  <c r="J99" i="9"/>
  <c r="J98" i="9" s="1"/>
  <c r="J97" i="9" s="1"/>
  <c r="K93" i="2"/>
  <c r="K92" i="2" s="1"/>
  <c r="K91" i="2" s="1"/>
  <c r="J31" i="2"/>
  <c r="J25" i="2" s="1"/>
  <c r="J24" i="2" s="1"/>
  <c r="J12" i="2" s="1"/>
  <c r="C16" i="32"/>
  <c r="K32" i="2"/>
  <c r="I54" i="28"/>
  <c r="I53" i="28" s="1"/>
  <c r="I165" i="9"/>
  <c r="I164" i="9" s="1"/>
  <c r="I163" i="9" s="1"/>
  <c r="J155" i="2"/>
  <c r="J154" i="2" s="1"/>
  <c r="J153" i="2" s="1"/>
  <c r="J152" i="2" s="1"/>
  <c r="I39" i="28"/>
  <c r="I199" i="9"/>
  <c r="I198" i="9" s="1"/>
  <c r="I42" i="28"/>
  <c r="K196" i="2"/>
  <c r="D13" i="32"/>
  <c r="J36" i="9"/>
  <c r="J35" i="9" s="1"/>
  <c r="J64" i="28"/>
  <c r="J63" i="28" s="1"/>
  <c r="D26" i="32"/>
  <c r="D27" i="32" s="1"/>
  <c r="J247" i="9"/>
  <c r="J246" i="9" s="1"/>
  <c r="J245" i="9" s="1"/>
  <c r="J244" i="9" s="1"/>
  <c r="J243" i="9" s="1"/>
  <c r="E34" i="37" s="1"/>
  <c r="K117" i="9"/>
  <c r="D14" i="35"/>
  <c r="D24" i="30" s="1"/>
  <c r="D23" i="30" s="1"/>
  <c r="D22" i="30" s="1"/>
  <c r="D21" i="30" s="1"/>
  <c r="J28" i="9"/>
  <c r="J110" i="2"/>
  <c r="J109" i="2" s="1"/>
  <c r="J108" i="2" s="1"/>
  <c r="K21" i="29"/>
  <c r="K20" i="29" s="1"/>
  <c r="K19" i="29" s="1"/>
  <c r="K18" i="29" s="1"/>
  <c r="K17" i="29" s="1"/>
  <c r="K16" i="29" s="1"/>
  <c r="K292" i="2"/>
  <c r="K291" i="2" s="1"/>
  <c r="K290" i="2" s="1"/>
  <c r="K281" i="2" s="1"/>
  <c r="K280" i="2" s="1"/>
  <c r="J302" i="9"/>
  <c r="J301" i="9" s="1"/>
  <c r="J300" i="9" s="1"/>
  <c r="J299" i="9" s="1"/>
  <c r="D23" i="36"/>
  <c r="I21" i="9"/>
  <c r="I77" i="28"/>
  <c r="I310" i="9"/>
  <c r="I309" i="9" s="1"/>
  <c r="J106" i="28"/>
  <c r="J105" i="28" s="1"/>
  <c r="J242" i="9"/>
  <c r="J241" i="9" s="1"/>
  <c r="J240" i="9" s="1"/>
  <c r="J239" i="9" s="1"/>
  <c r="J257" i="9"/>
  <c r="J256" i="9" s="1"/>
  <c r="J69" i="28"/>
  <c r="I114" i="28"/>
  <c r="I318" i="9"/>
  <c r="I317" i="9" s="1"/>
  <c r="I316" i="9" s="1"/>
  <c r="I315" i="9" s="1"/>
  <c r="I314" i="9" s="1"/>
  <c r="J308" i="2"/>
  <c r="J307" i="2" s="1"/>
  <c r="J306" i="2" s="1"/>
  <c r="J305" i="2" s="1"/>
  <c r="J304" i="2" s="1"/>
  <c r="K309" i="2"/>
  <c r="I55" i="9"/>
  <c r="I54" i="9" s="1"/>
  <c r="F33" i="37"/>
  <c r="F32" i="37" s="1"/>
  <c r="K238" i="9"/>
  <c r="F11" i="37"/>
  <c r="I34" i="28"/>
  <c r="I191" i="9"/>
  <c r="I190" i="9" s="1"/>
  <c r="J181" i="2"/>
  <c r="L48" i="2"/>
  <c r="L47" i="2" s="1"/>
  <c r="J26" i="28"/>
  <c r="J140" i="9"/>
  <c r="J139" i="9" s="1"/>
  <c r="K130" i="2"/>
  <c r="K105" i="2"/>
  <c r="K104" i="2" s="1"/>
  <c r="K103" i="2" s="1"/>
  <c r="K102" i="2" s="1"/>
  <c r="K101" i="2" s="1"/>
  <c r="J95" i="28"/>
  <c r="J94" i="28" s="1"/>
  <c r="J228" i="9"/>
  <c r="J227" i="9" s="1"/>
  <c r="J226" i="9" s="1"/>
  <c r="I238" i="9"/>
  <c r="F22" i="37"/>
  <c r="F21" i="37" s="1"/>
  <c r="K135" i="9"/>
  <c r="I14" i="28"/>
  <c r="J54" i="2"/>
  <c r="I61" i="9"/>
  <c r="I60" i="9" s="1"/>
  <c r="I19" i="28"/>
  <c r="I18" i="28" s="1"/>
  <c r="I122" i="9"/>
  <c r="I121" i="9" s="1"/>
  <c r="I120" i="9" s="1"/>
  <c r="I119" i="9" s="1"/>
  <c r="K113" i="2"/>
  <c r="I45" i="28"/>
  <c r="I211" i="9"/>
  <c r="I210" i="9" s="1"/>
  <c r="J201" i="2"/>
  <c r="J186" i="2" s="1"/>
  <c r="I49" i="28"/>
  <c r="I223" i="9"/>
  <c r="K214" i="2"/>
  <c r="K317" i="2"/>
  <c r="K314" i="2" s="1"/>
  <c r="K313" i="2" s="1"/>
  <c r="K312" i="2" s="1"/>
  <c r="K311" i="2" s="1"/>
  <c r="K310" i="2" s="1"/>
  <c r="J19" i="9"/>
  <c r="J18" i="9" s="1"/>
  <c r="J16" i="9" s="1"/>
  <c r="J15" i="9" s="1"/>
  <c r="J14" i="9" s="1"/>
  <c r="J13" i="9" s="1"/>
  <c r="K124" i="2"/>
  <c r="K123" i="2" s="1"/>
  <c r="K122" i="2" s="1"/>
  <c r="K121" i="2" s="1"/>
  <c r="I205" i="9"/>
  <c r="I204" i="9" s="1"/>
  <c r="K249" i="9"/>
  <c r="I108" i="28"/>
  <c r="I107" i="28" s="1"/>
  <c r="I105" i="9"/>
  <c r="I104" i="9" s="1"/>
  <c r="I29" i="28"/>
  <c r="I146" i="9"/>
  <c r="I145" i="9" s="1"/>
  <c r="K137" i="2"/>
  <c r="J145" i="2"/>
  <c r="J144" i="2" s="1"/>
  <c r="J143" i="2" s="1"/>
  <c r="J142" i="2" s="1"/>
  <c r="I155" i="9"/>
  <c r="I154" i="9" s="1"/>
  <c r="I153" i="9" s="1"/>
  <c r="I152" i="9" s="1"/>
  <c r="I151" i="9" s="1"/>
  <c r="D23" i="37" s="1"/>
  <c r="I277" i="9"/>
  <c r="I276" i="9" s="1"/>
  <c r="I273" i="9" s="1"/>
  <c r="I272" i="9" s="1"/>
  <c r="J267" i="2"/>
  <c r="J264" i="2" s="1"/>
  <c r="J263" i="2" s="1"/>
  <c r="J240" i="2" s="1"/>
  <c r="J239" i="2" s="1"/>
  <c r="K268" i="2"/>
  <c r="I288" i="9"/>
  <c r="I287" i="9" s="1"/>
  <c r="I74" i="28"/>
  <c r="J92" i="28"/>
  <c r="J91" i="28" s="1"/>
  <c r="J81" i="9"/>
  <c r="J80" i="9" s="1"/>
  <c r="J79" i="9" s="1"/>
  <c r="K74" i="2"/>
  <c r="K73" i="2" s="1"/>
  <c r="J86" i="9"/>
  <c r="K105" i="9"/>
  <c r="K104" i="9" s="1"/>
  <c r="J40" i="2"/>
  <c r="J39" i="2" s="1"/>
  <c r="J38" i="2" s="1"/>
  <c r="J37" i="2" s="1"/>
  <c r="J104" i="28"/>
  <c r="J88" i="9"/>
  <c r="J87" i="9" s="1"/>
  <c r="K86" i="2"/>
  <c r="J129" i="9"/>
  <c r="K119" i="2"/>
  <c r="K118" i="2" s="1"/>
  <c r="K117" i="2" s="1"/>
  <c r="J30" i="28"/>
  <c r="J148" i="9"/>
  <c r="J147" i="9" s="1"/>
  <c r="K270" i="2"/>
  <c r="K279" i="2"/>
  <c r="K187" i="9"/>
  <c r="K186" i="9" s="1"/>
  <c r="K185" i="9" s="1"/>
  <c r="F28" i="37" s="1"/>
  <c r="C33" i="36"/>
  <c r="K18" i="2"/>
  <c r="K17" i="2" s="1"/>
  <c r="I84" i="28"/>
  <c r="I83" i="28" s="1"/>
  <c r="I82" i="28" s="1"/>
  <c r="I69" i="9"/>
  <c r="I68" i="9" s="1"/>
  <c r="I67" i="9" s="1"/>
  <c r="J62" i="2"/>
  <c r="J61" i="2" s="1"/>
  <c r="K71" i="2"/>
  <c r="K70" i="2" s="1"/>
  <c r="I103" i="28"/>
  <c r="I86" i="9"/>
  <c r="I26" i="28"/>
  <c r="I25" i="28" s="1"/>
  <c r="I140" i="9"/>
  <c r="I139" i="9" s="1"/>
  <c r="I221" i="9"/>
  <c r="I47" i="28"/>
  <c r="K212" i="2"/>
  <c r="I231" i="9"/>
  <c r="I230" i="9" s="1"/>
  <c r="I229" i="9" s="1"/>
  <c r="I97" i="28"/>
  <c r="I96" i="28" s="1"/>
  <c r="J269" i="2"/>
  <c r="E31" i="37"/>
  <c r="E30" i="37" s="1"/>
  <c r="J232" i="9"/>
  <c r="J105" i="9"/>
  <c r="J104" i="9" s="1"/>
  <c r="I128" i="9"/>
  <c r="I127" i="9" s="1"/>
  <c r="I126" i="9" s="1"/>
  <c r="I44" i="28"/>
  <c r="J231" i="9"/>
  <c r="J230" i="9" s="1"/>
  <c r="J229" i="9" s="1"/>
  <c r="J97" i="28"/>
  <c r="J96" i="28" s="1"/>
  <c r="C20" i="36"/>
  <c r="E33" i="36"/>
  <c r="E11" i="36" s="1"/>
  <c r="E10" i="36" s="1"/>
  <c r="E18" i="38" s="1"/>
  <c r="E17" i="38" s="1"/>
  <c r="E16" i="38" s="1"/>
  <c r="E15" i="38" s="1"/>
  <c r="C11" i="36"/>
  <c r="C10" i="36" s="1"/>
  <c r="C18" i="38" s="1"/>
  <c r="C17" i="38" s="1"/>
  <c r="C16" i="38" s="1"/>
  <c r="C15" i="38" s="1"/>
  <c r="I13" i="28"/>
  <c r="J52" i="2"/>
  <c r="J49" i="2" s="1"/>
  <c r="J48" i="2" s="1"/>
  <c r="K53" i="2"/>
  <c r="I113" i="28"/>
  <c r="I112" i="28" s="1"/>
  <c r="I111" i="28" s="1"/>
  <c r="K90" i="2"/>
  <c r="J222" i="9"/>
  <c r="J48" i="28"/>
  <c r="I64" i="28"/>
  <c r="I63" i="28" s="1"/>
  <c r="C26" i="32"/>
  <c r="C27" i="32" s="1"/>
  <c r="J237" i="2"/>
  <c r="J236" i="2" s="1"/>
  <c r="J235" i="2" s="1"/>
  <c r="J234" i="2" s="1"/>
  <c r="J229" i="2" s="1"/>
  <c r="I80" i="28"/>
  <c r="I79" i="28" s="1"/>
  <c r="I262" i="9"/>
  <c r="I261" i="9" s="1"/>
  <c r="I260" i="9" s="1"/>
  <c r="K253" i="2"/>
  <c r="I110" i="28"/>
  <c r="I271" i="9"/>
  <c r="I270" i="9" s="1"/>
  <c r="I269" i="9" s="1"/>
  <c r="I268" i="9" s="1"/>
  <c r="I47" i="9"/>
  <c r="I46" i="9" s="1"/>
  <c r="I45" i="9" s="1"/>
  <c r="I44" i="9" s="1"/>
  <c r="I43" i="9" s="1"/>
  <c r="D13" i="37" s="1"/>
  <c r="I96" i="9"/>
  <c r="I95" i="9" s="1"/>
  <c r="I94" i="9" s="1"/>
  <c r="I93" i="9" s="1"/>
  <c r="J252" i="9"/>
  <c r="J251" i="9" s="1"/>
  <c r="K313" i="9"/>
  <c r="F43" i="37"/>
  <c r="F42" i="37" s="1"/>
  <c r="C59" i="36"/>
  <c r="C49" i="36" s="1"/>
  <c r="C48" i="36" s="1"/>
  <c r="D49" i="36"/>
  <c r="D48" i="36" s="1"/>
  <c r="C18" i="32"/>
  <c r="I31" i="28"/>
  <c r="K141" i="2"/>
  <c r="I51" i="28"/>
  <c r="I50" i="28" s="1"/>
  <c r="I159" i="9"/>
  <c r="I158" i="9" s="1"/>
  <c r="I157" i="9" s="1"/>
  <c r="I156" i="9" s="1"/>
  <c r="D24" i="37" s="1"/>
  <c r="K150" i="2"/>
  <c r="I60" i="28"/>
  <c r="I59" i="28" s="1"/>
  <c r="I174" i="9"/>
  <c r="I173" i="9" s="1"/>
  <c r="I172" i="9" s="1"/>
  <c r="J164" i="2"/>
  <c r="J163" i="2" s="1"/>
  <c r="I38" i="28"/>
  <c r="I197" i="9"/>
  <c r="I196" i="9" s="1"/>
  <c r="I41" i="28"/>
  <c r="I203" i="9"/>
  <c r="I202" i="9" s="1"/>
  <c r="I48" i="28"/>
  <c r="I222" i="9"/>
  <c r="I76" i="28"/>
  <c r="I75" i="28" s="1"/>
  <c r="I308" i="9"/>
  <c r="I307" i="9" s="1"/>
  <c r="I306" i="9" s="1"/>
  <c r="I305" i="9" s="1"/>
  <c r="I304" i="9" s="1"/>
  <c r="J298" i="2"/>
  <c r="J297" i="2" s="1"/>
  <c r="J296" i="2" s="1"/>
  <c r="J295" i="2" s="1"/>
  <c r="J294" i="2" s="1"/>
  <c r="K299" i="2"/>
  <c r="J33" i="28"/>
  <c r="J32" i="28" s="1"/>
  <c r="J189" i="9"/>
  <c r="J188" i="9" s="1"/>
  <c r="J187" i="9" s="1"/>
  <c r="J70" i="28"/>
  <c r="J259" i="9"/>
  <c r="J258" i="9" s="1"/>
  <c r="K28" i="9"/>
  <c r="K25" i="9" s="1"/>
  <c r="K21" i="9" s="1"/>
  <c r="K20" i="9" s="1"/>
  <c r="J78" i="9"/>
  <c r="J77" i="9" s="1"/>
  <c r="J76" i="9" s="1"/>
  <c r="I92" i="9"/>
  <c r="I91" i="9" s="1"/>
  <c r="I90" i="9" s="1"/>
  <c r="I89" i="9" s="1"/>
  <c r="F31" i="37"/>
  <c r="F30" i="37" s="1"/>
  <c r="K232" i="9"/>
  <c r="K197" i="2"/>
  <c r="K36" i="2"/>
  <c r="J68" i="2"/>
  <c r="J67" i="2" s="1"/>
  <c r="J97" i="2"/>
  <c r="J96" i="2" s="1"/>
  <c r="J95" i="2" s="1"/>
  <c r="J132" i="2"/>
  <c r="J129" i="2" s="1"/>
  <c r="J128" i="2" s="1"/>
  <c r="J127" i="2" s="1"/>
  <c r="J126" i="2" s="1"/>
  <c r="I58" i="28"/>
  <c r="I55" i="28" s="1"/>
  <c r="I171" i="9"/>
  <c r="I170" i="9" s="1"/>
  <c r="I228" i="9"/>
  <c r="I227" i="9" s="1"/>
  <c r="I226" i="9" s="1"/>
  <c r="I225" i="9" s="1"/>
  <c r="I224" i="9" s="1"/>
  <c r="I95" i="28"/>
  <c r="I94" i="28" s="1"/>
  <c r="J21" i="29"/>
  <c r="J20" i="29" s="1"/>
  <c r="J19" i="29" s="1"/>
  <c r="J18" i="29" s="1"/>
  <c r="J17" i="29" s="1"/>
  <c r="J16" i="29" s="1"/>
  <c r="J22" i="29" s="1"/>
  <c r="I302" i="9"/>
  <c r="I301" i="9" s="1"/>
  <c r="I300" i="9" s="1"/>
  <c r="I299" i="9" s="1"/>
  <c r="I290" i="9" s="1"/>
  <c r="K206" i="2"/>
  <c r="K205" i="2" s="1"/>
  <c r="K204" i="2" s="1"/>
  <c r="K203" i="2" s="1"/>
  <c r="J284" i="9"/>
  <c r="J283" i="9" s="1"/>
  <c r="J72" i="28"/>
  <c r="I64" i="9"/>
  <c r="I63" i="9" s="1"/>
  <c r="I62" i="9" s="1"/>
  <c r="I267" i="9"/>
  <c r="I266" i="9" s="1"/>
  <c r="I265" i="9" s="1"/>
  <c r="I264" i="9" s="1"/>
  <c r="I263" i="9" s="1"/>
  <c r="I100" i="28"/>
  <c r="I99" i="28" s="1"/>
  <c r="I98" i="28" s="1"/>
  <c r="J78" i="28"/>
  <c r="J312" i="9"/>
  <c r="J311" i="9" s="1"/>
  <c r="I75" i="9"/>
  <c r="I74" i="9" s="1"/>
  <c r="I73" i="9" s="1"/>
  <c r="J255" i="9"/>
  <c r="K289" i="9"/>
  <c r="I142" i="9"/>
  <c r="I141" i="9" s="1"/>
  <c r="E18" i="32"/>
  <c r="D17" i="32"/>
  <c r="I252" i="9"/>
  <c r="I251" i="9" s="1"/>
  <c r="K303" i="9"/>
  <c r="I43" i="28"/>
  <c r="J121" i="28"/>
  <c r="J120" i="28" s="1"/>
  <c r="J119" i="28" s="1"/>
  <c r="J118" i="28" s="1"/>
  <c r="F12" i="37" l="1"/>
  <c r="K12" i="9"/>
  <c r="E11" i="37"/>
  <c r="D39" i="37"/>
  <c r="D38" i="37" s="1"/>
  <c r="I289" i="9"/>
  <c r="I81" i="28"/>
  <c r="I187" i="9"/>
  <c r="J86" i="28"/>
  <c r="J85" i="28" s="1"/>
  <c r="J82" i="28" s="1"/>
  <c r="J72" i="9"/>
  <c r="J71" i="9" s="1"/>
  <c r="J70" i="9" s="1"/>
  <c r="J66" i="9" s="1"/>
  <c r="J65" i="9" s="1"/>
  <c r="K65" i="2"/>
  <c r="K64" i="2" s="1"/>
  <c r="K60" i="2" s="1"/>
  <c r="K59" i="2" s="1"/>
  <c r="J113" i="28"/>
  <c r="J96" i="9"/>
  <c r="J95" i="9" s="1"/>
  <c r="J94" i="9" s="1"/>
  <c r="J93" i="9" s="1"/>
  <c r="K89" i="2"/>
  <c r="K88" i="2" s="1"/>
  <c r="K87" i="2" s="1"/>
  <c r="J49" i="28"/>
  <c r="J223" i="9"/>
  <c r="J114" i="28"/>
  <c r="J318" i="9"/>
  <c r="J317" i="9" s="1"/>
  <c r="J316" i="9" s="1"/>
  <c r="J315" i="9" s="1"/>
  <c r="J314" i="9" s="1"/>
  <c r="K308" i="2"/>
  <c r="K307" i="2" s="1"/>
  <c r="K306" i="2" s="1"/>
  <c r="K305" i="2" s="1"/>
  <c r="K304" i="2" s="1"/>
  <c r="D13" i="39"/>
  <c r="D16" i="39" s="1"/>
  <c r="D20" i="36"/>
  <c r="D11" i="36" s="1"/>
  <c r="D10" i="36" s="1"/>
  <c r="D18" i="38" s="1"/>
  <c r="D17" i="38" s="1"/>
  <c r="D16" i="38" s="1"/>
  <c r="D15" i="38" s="1"/>
  <c r="I32" i="28"/>
  <c r="I24" i="28" s="1"/>
  <c r="I195" i="9"/>
  <c r="J47" i="28"/>
  <c r="J46" i="28" s="1"/>
  <c r="K211" i="2"/>
  <c r="K210" i="2" s="1"/>
  <c r="K209" i="2" s="1"/>
  <c r="K208" i="2" s="1"/>
  <c r="J221" i="9"/>
  <c r="J220" i="9" s="1"/>
  <c r="J219" i="9" s="1"/>
  <c r="J218" i="9" s="1"/>
  <c r="F36" i="37"/>
  <c r="F35" i="37" s="1"/>
  <c r="K248" i="9"/>
  <c r="I118" i="9"/>
  <c r="F10" i="37"/>
  <c r="I162" i="9"/>
  <c r="I161" i="9" s="1"/>
  <c r="I84" i="9"/>
  <c r="I83" i="9" s="1"/>
  <c r="I82" i="9" s="1"/>
  <c r="D15" i="32"/>
  <c r="D18" i="32" s="1"/>
  <c r="J39" i="9"/>
  <c r="J19" i="28"/>
  <c r="J18" i="28" s="1"/>
  <c r="J122" i="9"/>
  <c r="J121" i="9" s="1"/>
  <c r="J120" i="9" s="1"/>
  <c r="K112" i="2"/>
  <c r="K111" i="2" s="1"/>
  <c r="E33" i="37"/>
  <c r="E32" i="37" s="1"/>
  <c r="J238" i="9"/>
  <c r="K13" i="2"/>
  <c r="J102" i="28"/>
  <c r="J101" i="28" s="1"/>
  <c r="J85" i="9"/>
  <c r="J84" i="9" s="1"/>
  <c r="J83" i="9" s="1"/>
  <c r="J82" i="9" s="1"/>
  <c r="K78" i="2"/>
  <c r="K77" i="2" s="1"/>
  <c r="K76" i="2" s="1"/>
  <c r="D41" i="37"/>
  <c r="D40" i="37" s="1"/>
  <c r="I303" i="9"/>
  <c r="I37" i="28"/>
  <c r="J13" i="28"/>
  <c r="J11" i="28" s="1"/>
  <c r="J10" i="28" s="1"/>
  <c r="J59" i="9"/>
  <c r="J58" i="9" s="1"/>
  <c r="J55" i="9" s="1"/>
  <c r="J54" i="9" s="1"/>
  <c r="K52" i="2"/>
  <c r="K49" i="2" s="1"/>
  <c r="K48" i="2" s="1"/>
  <c r="K47" i="2" s="1"/>
  <c r="I46" i="28"/>
  <c r="D14" i="32"/>
  <c r="J128" i="9"/>
  <c r="J127" i="9" s="1"/>
  <c r="J126" i="9" s="1"/>
  <c r="J29" i="28"/>
  <c r="J146" i="9"/>
  <c r="J145" i="9" s="1"/>
  <c r="K136" i="2"/>
  <c r="I17" i="28"/>
  <c r="D43" i="37"/>
  <c r="D42" i="37" s="1"/>
  <c r="I313" i="9"/>
  <c r="J42" i="28"/>
  <c r="J37" i="28" s="1"/>
  <c r="J205" i="9"/>
  <c r="J204" i="9" s="1"/>
  <c r="J195" i="9" s="1"/>
  <c r="J186" i="9" s="1"/>
  <c r="J185" i="9" s="1"/>
  <c r="K195" i="2"/>
  <c r="K186" i="2" s="1"/>
  <c r="K177" i="2" s="1"/>
  <c r="K176" i="2" s="1"/>
  <c r="K151" i="2" s="1"/>
  <c r="I52" i="28"/>
  <c r="J73" i="28"/>
  <c r="J71" i="28" s="1"/>
  <c r="J62" i="28" s="1"/>
  <c r="J286" i="9"/>
  <c r="J285" i="9" s="1"/>
  <c r="K276" i="2"/>
  <c r="J290" i="9"/>
  <c r="I101" i="28"/>
  <c r="J31" i="28"/>
  <c r="J150" i="9"/>
  <c r="J149" i="9" s="1"/>
  <c r="K140" i="2"/>
  <c r="I62" i="28"/>
  <c r="I220" i="9"/>
  <c r="I219" i="9" s="1"/>
  <c r="I218" i="9" s="1"/>
  <c r="I217" i="9" s="1"/>
  <c r="D29" i="37" s="1"/>
  <c r="J60" i="2"/>
  <c r="J59" i="2" s="1"/>
  <c r="J47" i="2" s="1"/>
  <c r="J11" i="2" s="1"/>
  <c r="J10" i="2" s="1"/>
  <c r="J324" i="2" s="1"/>
  <c r="C22" i="38" s="1"/>
  <c r="C21" i="38" s="1"/>
  <c r="C20" i="38" s="1"/>
  <c r="C19" i="38" s="1"/>
  <c r="C14" i="38" s="1"/>
  <c r="C12" i="38" s="1"/>
  <c r="J74" i="28"/>
  <c r="J288" i="9"/>
  <c r="J287" i="9" s="1"/>
  <c r="K278" i="2"/>
  <c r="J109" i="28"/>
  <c r="J108" i="28" s="1"/>
  <c r="J107" i="28" s="1"/>
  <c r="J92" i="9"/>
  <c r="J91" i="9" s="1"/>
  <c r="J90" i="9" s="1"/>
  <c r="J89" i="9" s="1"/>
  <c r="K85" i="2"/>
  <c r="K84" i="2" s="1"/>
  <c r="K83" i="2" s="1"/>
  <c r="J277" i="9"/>
  <c r="J276" i="9" s="1"/>
  <c r="K267" i="2"/>
  <c r="J225" i="9"/>
  <c r="J224" i="9" s="1"/>
  <c r="D16" i="32"/>
  <c r="J38" i="9"/>
  <c r="J37" i="9" s="1"/>
  <c r="J33" i="9" s="1"/>
  <c r="J32" i="9" s="1"/>
  <c r="J20" i="9" s="1"/>
  <c r="K31" i="2"/>
  <c r="I282" i="9"/>
  <c r="I281" i="9" s="1"/>
  <c r="I280" i="9" s="1"/>
  <c r="D37" i="37" s="1"/>
  <c r="K22" i="29"/>
  <c r="L11" i="2"/>
  <c r="L10" i="2" s="1"/>
  <c r="L324" i="2" s="1"/>
  <c r="J42" i="9"/>
  <c r="J41" i="9" s="1"/>
  <c r="D12" i="32"/>
  <c r="K35" i="2"/>
  <c r="J308" i="9"/>
  <c r="J307" i="9" s="1"/>
  <c r="J306" i="9" s="1"/>
  <c r="J305" i="9" s="1"/>
  <c r="J304" i="9" s="1"/>
  <c r="J76" i="28"/>
  <c r="J75" i="28" s="1"/>
  <c r="K298" i="2"/>
  <c r="K297" i="2" s="1"/>
  <c r="K296" i="2" s="1"/>
  <c r="K295" i="2" s="1"/>
  <c r="K294" i="2" s="1"/>
  <c r="J250" i="9"/>
  <c r="I20" i="9"/>
  <c r="J282" i="9"/>
  <c r="J281" i="9" s="1"/>
  <c r="J280" i="9" s="1"/>
  <c r="E37" i="37" s="1"/>
  <c r="J51" i="28"/>
  <c r="J50" i="28" s="1"/>
  <c r="J159" i="9"/>
  <c r="J158" i="9" s="1"/>
  <c r="J157" i="9" s="1"/>
  <c r="J156" i="9" s="1"/>
  <c r="E24" i="37" s="1"/>
  <c r="K149" i="2"/>
  <c r="K148" i="2" s="1"/>
  <c r="K147" i="2" s="1"/>
  <c r="I250" i="9"/>
  <c r="I249" i="9" s="1"/>
  <c r="I93" i="28"/>
  <c r="J262" i="9"/>
  <c r="J261" i="9" s="1"/>
  <c r="J260" i="9" s="1"/>
  <c r="J80" i="28"/>
  <c r="J79" i="28" s="1"/>
  <c r="K252" i="2"/>
  <c r="K251" i="2" s="1"/>
  <c r="K241" i="2" s="1"/>
  <c r="I11" i="28"/>
  <c r="I10" i="28" s="1"/>
  <c r="I138" i="9"/>
  <c r="I137" i="9" s="1"/>
  <c r="I136" i="9" s="1"/>
  <c r="I66" i="9"/>
  <c r="I65" i="9" s="1"/>
  <c r="I53" i="9" s="1"/>
  <c r="D15" i="37" s="1"/>
  <c r="K269" i="2"/>
  <c r="J279" i="9"/>
  <c r="J278" i="9" s="1"/>
  <c r="J93" i="28"/>
  <c r="J65" i="28"/>
  <c r="J178" i="2"/>
  <c r="J177" i="2" s="1"/>
  <c r="J176" i="2" s="1"/>
  <c r="J151" i="2" s="1"/>
  <c r="I71" i="28"/>
  <c r="J28" i="28"/>
  <c r="J25" i="28" s="1"/>
  <c r="J24" i="28" s="1"/>
  <c r="K134" i="2"/>
  <c r="K129" i="2" s="1"/>
  <c r="K128" i="2" s="1"/>
  <c r="K127" i="2" s="1"/>
  <c r="K126" i="2" s="1"/>
  <c r="J144" i="9"/>
  <c r="J143" i="9" s="1"/>
  <c r="J138" i="9" s="1"/>
  <c r="J137" i="9" s="1"/>
  <c r="J136" i="9" s="1"/>
  <c r="J21" i="28"/>
  <c r="J20" i="28" s="1"/>
  <c r="J125" i="9"/>
  <c r="J124" i="9" s="1"/>
  <c r="J123" i="9" s="1"/>
  <c r="K115" i="2"/>
  <c r="K114" i="2" s="1"/>
  <c r="K160" i="9"/>
  <c r="E12" i="37" l="1"/>
  <c r="E28" i="37"/>
  <c r="E25" i="37" s="1"/>
  <c r="J160" i="9"/>
  <c r="E22" i="37"/>
  <c r="E21" i="37" s="1"/>
  <c r="J135" i="9"/>
  <c r="E43" i="37"/>
  <c r="E42" i="37" s="1"/>
  <c r="J313" i="9"/>
  <c r="D28" i="30"/>
  <c r="D27" i="30" s="1"/>
  <c r="D26" i="30" s="1"/>
  <c r="D25" i="30" s="1"/>
  <c r="D20" i="30" s="1"/>
  <c r="D13" i="30" s="1"/>
  <c r="E22" i="38"/>
  <c r="E21" i="38" s="1"/>
  <c r="E20" i="38" s="1"/>
  <c r="E19" i="38" s="1"/>
  <c r="E14" i="38" s="1"/>
  <c r="E12" i="38" s="1"/>
  <c r="I122" i="28"/>
  <c r="D12" i="37"/>
  <c r="D10" i="37" s="1"/>
  <c r="I12" i="9"/>
  <c r="I186" i="9"/>
  <c r="I185" i="9" s="1"/>
  <c r="D28" i="37" s="1"/>
  <c r="E39" i="37"/>
  <c r="E38" i="37" s="1"/>
  <c r="J289" i="9"/>
  <c r="K264" i="2"/>
  <c r="K263" i="2" s="1"/>
  <c r="K240" i="2" s="1"/>
  <c r="K239" i="2" s="1"/>
  <c r="K273" i="2"/>
  <c r="K272" i="2" s="1"/>
  <c r="K271" i="2" s="1"/>
  <c r="J53" i="9"/>
  <c r="E15" i="37" s="1"/>
  <c r="E10" i="37" s="1"/>
  <c r="K110" i="2"/>
  <c r="K109" i="2" s="1"/>
  <c r="K108" i="2" s="1"/>
  <c r="I160" i="9"/>
  <c r="D26" i="37"/>
  <c r="D25" i="37" s="1"/>
  <c r="D19" i="37"/>
  <c r="D18" i="37" s="1"/>
  <c r="I117" i="9"/>
  <c r="J112" i="28"/>
  <c r="J111" i="28" s="1"/>
  <c r="E41" i="37"/>
  <c r="E40" i="37" s="1"/>
  <c r="J303" i="9"/>
  <c r="J119" i="9"/>
  <c r="J118" i="9" s="1"/>
  <c r="J217" i="9"/>
  <c r="E29" i="37" s="1"/>
  <c r="K319" i="9"/>
  <c r="J273" i="9"/>
  <c r="J272" i="9" s="1"/>
  <c r="J249" i="9" s="1"/>
  <c r="J122" i="28"/>
  <c r="D22" i="37"/>
  <c r="D21" i="37" s="1"/>
  <c r="I135" i="9"/>
  <c r="D36" i="37"/>
  <c r="D35" i="37" s="1"/>
  <c r="I248" i="9"/>
  <c r="K25" i="2"/>
  <c r="K24" i="2" s="1"/>
  <c r="K12" i="2"/>
  <c r="K11" i="2" s="1"/>
  <c r="K10" i="2" s="1"/>
  <c r="K324" i="2" s="1"/>
  <c r="D22" i="38" s="1"/>
  <c r="D21" i="38" s="1"/>
  <c r="D20" i="38" s="1"/>
  <c r="D19" i="38" s="1"/>
  <c r="D14" i="38" s="1"/>
  <c r="D12" i="38" s="1"/>
  <c r="J17" i="28"/>
  <c r="F44" i="37"/>
  <c r="J81" i="28"/>
  <c r="E36" i="37" l="1"/>
  <c r="E35" i="37" s="1"/>
  <c r="J248" i="9"/>
  <c r="E19" i="37"/>
  <c r="E18" i="37" s="1"/>
  <c r="E44" i="37" s="1"/>
  <c r="J117" i="9"/>
  <c r="D44" i="37"/>
  <c r="D45" i="37" s="1"/>
  <c r="J12" i="9"/>
  <c r="F45" i="37"/>
  <c r="I319" i="9"/>
  <c r="J319" i="9" l="1"/>
  <c r="E45" i="37" s="1"/>
</calcChain>
</file>

<file path=xl/comments1.xml><?xml version="1.0" encoding="utf-8"?>
<comments xmlns="http://schemas.openxmlformats.org/spreadsheetml/2006/main">
  <authors>
    <author>2011</author>
  </authors>
  <commentList>
    <comment ref="E8" authorId="0" shapeId="0">
      <text>
        <r>
          <rPr>
            <b/>
            <sz val="8"/>
            <color indexed="81"/>
            <rFont val="Tahoma"/>
            <family val="2"/>
            <charset val="204"/>
          </rPr>
          <t>программа</t>
        </r>
      </text>
    </comment>
    <comment ref="F8" authorId="0" shapeId="0">
      <text>
        <r>
          <rPr>
            <b/>
            <sz val="8"/>
            <color indexed="81"/>
            <rFont val="Tahoma"/>
            <family val="2"/>
            <charset val="204"/>
          </rPr>
          <t>подпрограмма</t>
        </r>
      </text>
    </comment>
    <comment ref="H8"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<sst xmlns="http://schemas.openxmlformats.org/spreadsheetml/2006/main" count="4740" uniqueCount="571">
  <si>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</si>
  <si>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</si>
  <si>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</si>
  <si>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</si>
  <si>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</si>
  <si>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Целевая статья</t>
  </si>
  <si>
    <t xml:space="preserve">   </t>
  </si>
  <si>
    <t xml:space="preserve">  </t>
  </si>
  <si>
    <t xml:space="preserve">        </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</si>
  <si>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</si>
  <si>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</si>
  <si>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</si>
  <si>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</si>
  <si>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</si>
  <si>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</si>
  <si>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Жилищное хозяйство</t>
  </si>
  <si>
    <t>07</t>
  </si>
  <si>
    <t>08</t>
  </si>
  <si>
    <t>Культура</t>
  </si>
  <si>
    <t>Другие общегосударственные вопросы</t>
  </si>
  <si>
    <t>ГРБС</t>
  </si>
  <si>
    <t>871</t>
  </si>
  <si>
    <t>09</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</si>
  <si>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</si>
  <si>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</si>
  <si>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Приложение 3</t>
  </si>
  <si>
    <t>Приложение 4</t>
  </si>
  <si>
    <t>Профессиональная подготовка, переподготовка и повышение квалификации</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</si>
  <si>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</si>
  <si>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</si>
  <si>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Другие вопросы в области культуры, кинематографии</t>
  </si>
  <si>
    <t>Другие вопросы в области физической культуры и спорта</t>
  </si>
  <si>
    <t>Коммунальное хозяйство</t>
  </si>
  <si>
    <t>10</t>
  </si>
  <si>
    <t>11</t>
  </si>
  <si>
    <t>Межбюджетные трансферты</t>
  </si>
  <si>
    <t>Социальное обеспечение населения</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</si>
  <si>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</si>
  <si>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</si>
  <si>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</si>
  <si>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</si>
  <si>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</si>
  <si>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</si>
  <si>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</si>
  <si>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</si>
  <si>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</si>
  <si>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</si>
  <si>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</si>
  <si>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</si>
  <si>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</si>
  <si>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</si>
  <si>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</si>
  <si>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</si>
  <si>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</si>
  <si>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</si>
  <si>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</si>
  <si>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</si>
  <si>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</si>
  <si>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 xml:space="preserve">Ремонт дорог </t>
  </si>
  <si>
    <t>Ремонт тротуаров</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</si>
  <si>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</si>
  <si>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</si>
  <si>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</si>
  <si>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</si>
  <si>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</si>
  <si>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</si>
  <si>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</si>
  <si>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</si>
  <si>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</si>
  <si>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</si>
  <si>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</si>
  <si>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Молодежная политика и оздоровление детей</t>
  </si>
  <si>
    <t>Проведение праздничных мероприятий</t>
  </si>
  <si>
    <t>Молодежная политика</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</si>
  <si>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</si>
  <si>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</si>
  <si>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</si>
  <si>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</si>
  <si>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</si>
  <si>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</si>
  <si>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</si>
  <si>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</si>
  <si>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</si>
  <si>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</si>
  <si>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</si>
  <si>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</si>
  <si>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</si>
  <si>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</si>
  <si>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</si>
  <si>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</si>
  <si>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</si>
  <si>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</si>
  <si>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</si>
  <si>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</si>
  <si>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</si>
  <si>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</si>
  <si>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Установка и разработка схемы дислокации дорожных знаков и дорожной разметки дорог общего пользования</t>
  </si>
  <si>
    <t>91</t>
  </si>
  <si>
    <t>Аппарат администрации</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</si>
  <si>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</si>
  <si>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</si>
  <si>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</si>
  <si>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Взносы на капитальный ремонт общего имущества в многоквартирных домах по помещениям находящимся в собственности МО</t>
  </si>
  <si>
    <t>Подпрограмма "Оценкам недвижимости, признание прав и регулирование отношений по муниципальной собственности"</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</si>
  <si>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</si>
  <si>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</si>
  <si>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</si>
  <si>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</si>
  <si>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</si>
  <si>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</si>
  <si>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</si>
  <si>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Приложение 1</t>
  </si>
  <si>
    <t>Приложение 2</t>
  </si>
  <si>
    <t>13</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</si>
  <si>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</si>
  <si>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</si>
  <si>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t>
  </si>
  <si>
    <t>240</t>
  </si>
  <si>
    <t>0</t>
  </si>
  <si>
    <t>Организация сотрудничества органов местного самоуправления с органами территориального общественного самоуправления</t>
  </si>
  <si>
    <t>3</t>
  </si>
  <si>
    <t>Развитие и поддержание информационной системы МКУК "ППБ"</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</si>
  <si>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</si>
  <si>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</si>
  <si>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Приобретение жилых помещений</t>
  </si>
  <si>
    <t>Приложение 6</t>
  </si>
  <si>
    <t>Содержание автомобильных дорог и тротуаров</t>
  </si>
  <si>
    <t>Иные закупки товаров, работ и услуг для обеспечения государственных (муниципальных) нужд</t>
  </si>
  <si>
    <t>Представительские расходы в рамках непрограммного направления деятельности "Собрания депутатов поселений Щекинского района"</t>
  </si>
  <si>
    <t>Установка приборов учета</t>
  </si>
  <si>
    <t>(тыс. рублей)</t>
  </si>
  <si>
    <t>№ п/п</t>
  </si>
  <si>
    <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</si>
  <si>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</si>
  <si>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Итого</t>
  </si>
  <si>
    <t>000 01 00 00 00 00 0000 000</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</si>
  <si>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</si>
  <si>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</si>
  <si>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</si>
  <si>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</si>
  <si>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</si>
  <si>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</si>
  <si>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</si>
  <si>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</si>
  <si>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</si>
  <si>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</si>
  <si>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</si>
  <si>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</si>
  <si>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</si>
  <si>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000 01 05 02 01 13 0000 510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</si>
  <si>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</si>
  <si>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</si>
  <si>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</si>
  <si>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</si>
  <si>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</si>
  <si>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</si>
  <si>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</si>
  <si>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000 01 05 02 01 13 0000 610</t>
  </si>
  <si>
    <t>Уменьшение прочих остатков денежных средств местных бюджетов</t>
  </si>
  <si>
    <t>Приложение 5</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</si>
  <si>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</si>
  <si>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</si>
  <si>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</si>
  <si>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</si>
  <si>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</si>
  <si>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</si>
  <si>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</si>
  <si>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</si>
  <si>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</si>
  <si>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000 1 06 00000 00 0000 000</t>
  </si>
  <si>
    <t>НАЛОГИ НА ИМУЩЕСТВО</t>
  </si>
  <si>
    <t>000 1 06 01000 00 0000 110</t>
  </si>
  <si>
    <t>Налог на имущество физических лиц</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</si>
  <si>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</si>
  <si>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</si>
  <si>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000 1 06 06000 00 0000 110</t>
  </si>
  <si>
    <t>Земельный налог</t>
  </si>
  <si>
    <t>000 1 06 06030 03 0000 110</t>
  </si>
  <si>
    <t>Земельный налог с организаций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</si>
  <si>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</si>
  <si>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</si>
  <si>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</si>
  <si>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</si>
  <si>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</si>
  <si>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Земельный налог с физических, обладающих земельным участком, расположенным в границах  городских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</si>
  <si>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</si>
  <si>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</si>
  <si>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</si>
  <si>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</si>
  <si>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</si>
  <si>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</si>
  <si>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</si>
  <si>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</si>
  <si>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</si>
  <si>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</si>
  <si>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000 1 14 06000 00 0000 430</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</si>
  <si>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</si>
  <si>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</si>
  <si>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</si>
  <si>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</si>
  <si>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000 1 16 00000 00 0000 000</t>
  </si>
  <si>
    <t>ШТРАФЫ, САНКЦИИ, ВОЗМЕЩЕНИЕ УЩЕРБА</t>
  </si>
  <si>
    <t>000 1 17 00000 00 0000 000</t>
  </si>
  <si>
    <t>ПРОЧИЕ НЕНАЛОГОВЫЕ ДОХОДЫ</t>
  </si>
  <si>
    <t>000 1 17 05050 13 0000 180</t>
  </si>
  <si>
    <t>Прочие неналоговые доходы бюджетов городских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</si>
  <si>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</si>
  <si>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</si>
  <si>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</si>
  <si>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t>
  </si>
  <si>
    <t>Дотации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</si>
  <si>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</si>
  <si>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</si>
  <si>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</si>
  <si>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 городских поселений</t>
  </si>
  <si>
    <t>000 2 07 00000 00 0000 000</t>
  </si>
  <si>
    <t>ПРОЧИЕ БЕЗВОЗМЕЗДНЫЕ ПОСТУПЛЕНИЯ</t>
  </si>
  <si>
    <t>Поступления от денежных пожертвований, предоставляемых физическими лицами получателям средств бюджетов городских поселений</t>
  </si>
  <si>
    <t>к Решению Собрания депутатов МО р.п. Первомайский</t>
  </si>
  <si>
    <t>Приложение 7</t>
  </si>
  <si>
    <t>в том числе:</t>
  </si>
  <si>
    <t>Наименование показателя</t>
  </si>
  <si>
    <t>Код бюджетной классификации</t>
  </si>
  <si>
    <t>Исполнено</t>
  </si>
  <si>
    <t>доходов бюджета области</t>
  </si>
  <si>
    <t>1 01 02010 01 0000 110</t>
  </si>
  <si>
    <t>1 01 02020 01 0000 110</t>
  </si>
  <si>
    <t>1 01 02030 01 0000 110</t>
  </si>
  <si>
    <t>Федеральная налоговая служба</t>
  </si>
  <si>
    <t>1 06 01030 13 0000 110</t>
  </si>
  <si>
    <t>1 06 06033 13 0000 110</t>
  </si>
  <si>
    <t>1 06 06043 13 0000 110</t>
  </si>
  <si>
    <t>Администрация муниципального образования Щекинский район</t>
  </si>
  <si>
    <t>1 11 05013 13 0000 120</t>
  </si>
  <si>
    <t>1 14 06013 13 0000 430</t>
  </si>
  <si>
    <t>Администрация муниципального образования рабочий поселок Первомайский Щекинского района</t>
  </si>
  <si>
    <t>1 17 05050 13 0000 180</t>
  </si>
  <si>
    <t>ДОХОДЫ, ВСЕГО</t>
  </si>
  <si>
    <t>1 11 09045 13 0000 120</t>
  </si>
  <si>
    <t>администра-тора поступлений</t>
  </si>
  <si>
    <t>Исполнение</t>
  </si>
  <si>
    <t>Код  бюджетной классификации</t>
  </si>
  <si>
    <t xml:space="preserve"> Наименование показателя</t>
  </si>
  <si>
    <t xml:space="preserve">Утверждено </t>
  </si>
  <si>
    <t xml:space="preserve">ДОХОДЫ, ВСЕГО </t>
  </si>
  <si>
    <t>Раз-дел</t>
  </si>
  <si>
    <t>Под-раз-дел</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</si>
  <si>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</si>
  <si>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</si>
  <si>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</si>
  <si>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</si>
  <si>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</si>
  <si>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Другие вопросы в области жилищно-коммунального хозяйства</t>
  </si>
  <si>
    <t>Образование</t>
  </si>
  <si>
    <t>Культура и кинематография</t>
  </si>
  <si>
    <t>Социальная политика</t>
  </si>
  <si>
    <t>Физическая культура и спорт</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</si>
  <si>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</si>
  <si>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</si>
  <si>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</si>
  <si>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</si>
  <si>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</si>
  <si>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01 05 02 01 13 0000 610</t>
  </si>
  <si>
    <t>01 05 02 01 00 0000 610</t>
  </si>
  <si>
    <t>01 05 02 00 00 0000 600</t>
  </si>
  <si>
    <t>01 05 00 00 00 0000 600</t>
  </si>
  <si>
    <t>01 05 02 01 13 0000 510</t>
  </si>
  <si>
    <t>01 05 02 01 00 0000 510</t>
  </si>
  <si>
    <t>01 05 02 00 00 0000 500</t>
  </si>
  <si>
    <t>01 05 00 00 00 0000 500</t>
  </si>
  <si>
    <t>Изменение остатков средств на счетах по учету средств бюджетов</t>
  </si>
  <si>
    <t>Приложение 9</t>
  </si>
  <si>
    <t>Приложение 10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</si>
  <si>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</si>
  <si>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</si>
  <si>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</si>
  <si>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</si>
  <si>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</si>
  <si>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</si>
  <si>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</si>
  <si>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Информирование населения о деятельности органов местного самоуправления</t>
  </si>
  <si>
    <t>26910</t>
  </si>
  <si>
    <t>00</t>
  </si>
  <si>
    <t>00110</t>
  </si>
  <si>
    <t>00190</t>
  </si>
  <si>
    <t>85100</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</si>
  <si>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</si>
  <si>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</si>
  <si>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</si>
  <si>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Обеспечение деятельности финансовых, налоговых и таможенных органов и органов финансового (финансово-бюджетного) надзора</t>
  </si>
  <si>
    <t>2</t>
  </si>
  <si>
    <t>Расходы за счет переданных полномочий на осуществление внешнего муниципального финансового контроля</t>
  </si>
  <si>
    <t>85040</t>
  </si>
  <si>
    <t>28810</t>
  </si>
  <si>
    <t>29060</t>
  </si>
  <si>
    <t>Ремонт, содержание и обслуживание памятника погибшим воинам</t>
  </si>
  <si>
    <t>29270</t>
  </si>
  <si>
    <t>29070</t>
  </si>
  <si>
    <t>Оснащение компьютерной техникой</t>
  </si>
  <si>
    <t>29050</t>
  </si>
  <si>
    <t>Обеспечение функционирования официального портала МО р.п. Первомайский</t>
  </si>
  <si>
    <t>Сопровождение и обновление информационных систем</t>
  </si>
  <si>
    <t>Защита информации от несанкционированного доступа</t>
  </si>
  <si>
    <t>29010</t>
  </si>
  <si>
    <t>51180</t>
  </si>
  <si>
    <t>Совершенствование гражданской обороны (защиты) населения МО р.п. Первомайский</t>
  </si>
  <si>
    <t>Накопление запасов материально-технических, продовольственных и медицинских средств в целях гражданской обороны</t>
  </si>
  <si>
    <t>29560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</si>
  <si>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</si>
  <si>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Обеспечение первичных мер пожарной безопасности</t>
  </si>
  <si>
    <t>29530</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</si>
  <si>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</si>
  <si>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</si>
  <si>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29100</t>
  </si>
  <si>
    <t>29120</t>
  </si>
  <si>
    <t>29130</t>
  </si>
  <si>
    <t>29330</t>
  </si>
  <si>
    <t>29590</t>
  </si>
  <si>
    <t>29910</t>
  </si>
  <si>
    <t>29420</t>
  </si>
  <si>
    <t>Переселение граждан из аварийного жилищного фонда в муниципальном образовании рабочий поселок Первомайский Щекинского района</t>
  </si>
  <si>
    <t>29800</t>
  </si>
  <si>
    <t>26670</t>
  </si>
  <si>
    <t>29190</t>
  </si>
  <si>
    <t>29200</t>
  </si>
  <si>
    <t>29210</t>
  </si>
  <si>
    <t>29370</t>
  </si>
  <si>
    <t xml:space="preserve">Мероприятия по озеленению территории </t>
  </si>
  <si>
    <t>29610</t>
  </si>
  <si>
    <t>29620</t>
  </si>
  <si>
    <t>Другие вопросы в области жилищное - коммунального хозяйства</t>
  </si>
  <si>
    <t>00590</t>
  </si>
  <si>
    <t>Развитие и поддержание информационной системы МКУ "ПУЖиБ"</t>
  </si>
  <si>
    <t>Обслуживание программ</t>
  </si>
  <si>
    <t>29260</t>
  </si>
  <si>
    <t>Внедрение энергосберегающих технологий</t>
  </si>
  <si>
    <t>Энергосбережение и повышение энергетической эффективности</t>
  </si>
  <si>
    <t>23380</t>
  </si>
  <si>
    <t>80100</t>
  </si>
  <si>
    <t>Социальные выплаты гражданам, кроме публичных нормативных социальных выплат</t>
  </si>
  <si>
    <t>29020</t>
  </si>
  <si>
    <t>29250</t>
  </si>
  <si>
    <t>28900</t>
  </si>
  <si>
    <t>Выплата материнского капитала</t>
  </si>
  <si>
    <t>29630</t>
  </si>
  <si>
    <t>29230</t>
  </si>
  <si>
    <t>29570</t>
  </si>
  <si>
    <t>Периодическая печать и издательства</t>
  </si>
  <si>
    <t>26250</t>
  </si>
  <si>
    <t>Средства массовой информации</t>
  </si>
  <si>
    <t>Осуществление внутреннего муниципального финансового контроля в сфере бюджетных правоотношений в части осуществления последующего контроля</t>
  </si>
  <si>
    <t>Осуществление внешнего муниципального финансового контроля</t>
  </si>
  <si>
    <t>Организация деятельности аварийно-спасательных служб и (или) аварийно-спасательных формирований на территории муниципального образования</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</si>
  <si>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</si>
  <si>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</si>
  <si>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4</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</si>
  <si>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</si>
  <si>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"Развитие и поддержание информационной системы Администрации МО р.п. Первомайский Щекинского района"</t>
  </si>
  <si>
    <t>Правительство Тульской области</t>
  </si>
  <si>
    <t>Прочие дотации бюджетам городских поселений</t>
  </si>
  <si>
    <t>Дотации бюджетам бюджетной системы Российской Федерации</t>
  </si>
  <si>
    <t>Оплата труда работникам муниципальных учреждений культурно-досугового типа</t>
  </si>
  <si>
    <t>00000</t>
  </si>
  <si>
    <t>Содержание свободного муниципального жилья</t>
  </si>
  <si>
    <t>29290</t>
  </si>
  <si>
    <t>Обеспечение доступа к сети Интернет</t>
  </si>
  <si>
    <t>850</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</si>
  <si>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</si>
  <si>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</si>
  <si>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</si>
  <si>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</si>
  <si>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14</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</si>
  <si>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</si>
  <si>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Бюджетные инвестиции</t>
  </si>
  <si>
    <t>Приобретение, поставка и обслуживание светодиодных конструкций</t>
  </si>
  <si>
    <t>29710</t>
  </si>
  <si>
    <t>Обеспечение деятельности МАУК "ДК "ХИМИК"</t>
  </si>
  <si>
    <t>Субсидии автономным учреждениям</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</si>
  <si>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</si>
  <si>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"Совершенствование гражданской обороны (защиты) населения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</si>
  <si>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</si>
  <si>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</si>
  <si>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Подпрограмма "Обеспечение деятельности МКУ "ПУЖиБ""</t>
  </si>
  <si>
    <t>110</t>
  </si>
  <si>
    <t>Подпрограмма "Обеспечение деятельности МКУК "ППБ""</t>
  </si>
  <si>
    <t>Подпрограмма "Обеспечение деятельности МАУК "ДК "ХИМИК"</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</si>
  <si>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</si>
  <si>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</si>
  <si>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</si>
  <si>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</si>
  <si>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</si>
  <si>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</si>
  <si>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</si>
  <si>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</si>
  <si>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</si>
  <si>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Субвенции бюджетам бюджетной системы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</si>
  <si>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</si>
  <si>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</si>
  <si>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</si>
  <si>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</si>
  <si>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</si>
  <si>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</si>
  <si>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000 1 16 90000 00 0000 140</t>
  </si>
  <si>
    <t>Прочие поступления от денежных взысканий (штрафов) и иных сумм в возмещение ущерба</t>
  </si>
  <si>
    <t>Прочие безвозмездные поступления в бюджеты городских поселений</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</si>
  <si>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</si>
  <si>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</si>
  <si>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</si>
  <si>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</si>
  <si>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</si>
  <si>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социальной инфраструктуры</t>
  </si>
  <si>
    <t>29730</t>
  </si>
  <si>
    <t>Связь и информатика</t>
  </si>
  <si>
    <t>Межбюджетные трансферты на реализацию мероприятий по применению информационных технологий</t>
  </si>
  <si>
    <t>80450</t>
  </si>
  <si>
    <t>Субсидии юридическим лицам (кроме некоммерческих организаций), индивидуальным предпринимателям, физическим лицам</t>
  </si>
  <si>
    <t>Жилищно-коммунальное хозяйтсво</t>
  </si>
  <si>
    <t>94</t>
  </si>
  <si>
    <t>Разработка проектной документации</t>
  </si>
  <si>
    <t>29170</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</si>
  <si>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</si>
  <si>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</si>
  <si>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</si>
  <si>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</si>
  <si>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</si>
  <si>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S0120</t>
  </si>
  <si>
    <t>Премии и гранты</t>
  </si>
  <si>
    <t>Собрание депутатов МО р.п. Первомайский</t>
  </si>
  <si>
    <t>Приложение 11</t>
  </si>
  <si>
    <t xml:space="preserve">(тыс. рублей) </t>
  </si>
  <si>
    <t>Источники формирования муниципального дорожного фонда</t>
  </si>
  <si>
    <t>Остаток средств фонда на 1 января очередного финансового года</t>
  </si>
  <si>
    <t>"Об исполнении бюджета муниципального образования</t>
  </si>
  <si>
    <t>доходов бюджета муниципального образования рабочий поселок Первомайский Щекинского района по кодам классификации доходов бюджетов</t>
  </si>
  <si>
    <t>рабочий поселок  Первомайский Щёкинского района за 2019 год"</t>
  </si>
  <si>
    <t>НАЛОГИ НА СОВОКУПНЫЙ ДОХОД</t>
  </si>
  <si>
    <t>Единый сельскохозяйственный налог</t>
  </si>
  <si>
    <t>000 1 05 00000 00 0000 000</t>
  </si>
  <si>
    <t>000 1 05 03000 01 0000 110</t>
  </si>
  <si>
    <t>000 1 05 03010 01 0000 110</t>
  </si>
  <si>
    <t>Субвенции местным бюджетам на выполнение передаваемых полномочий субъектов Российской Федерации</t>
  </si>
  <si>
    <t>Субвенции бюджетам городских поселений на выполнение передаваемых полномочий субъектов Российской Федерации</t>
  </si>
  <si>
    <t>000 2 02 30024 00 0000 150</t>
  </si>
  <si>
    <t>000 2 02 30024 13 0000 150</t>
  </si>
  <si>
    <t>1 05 03010 01 0000 110</t>
  </si>
  <si>
    <t>000 2 02 01000 00 0000 150</t>
  </si>
  <si>
    <t>000 2 02 10000 00 0000 150</t>
  </si>
  <si>
    <t>000 2 02 19999 13 0000 150</t>
  </si>
  <si>
    <t>000 2 02 30000 00 0000 150</t>
  </si>
  <si>
    <t>000 2 02 35118 13 0000 150</t>
  </si>
  <si>
    <t>000 2 02 35118 00 0000 150</t>
  </si>
  <si>
    <t>000 2 02 04000 00 0000 150</t>
  </si>
  <si>
    <t>000 2 02 49999 13 0000 150</t>
  </si>
  <si>
    <t>000 2 07 05000 13 0000 150</t>
  </si>
  <si>
    <t>000 2 07 05020 13 0000 150</t>
  </si>
  <si>
    <t>000 2 18 00000 00 0000 150</t>
  </si>
  <si>
    <t>000 2 18 00000 13 0000 150</t>
  </si>
  <si>
    <t>000 2 18 60010 13 0000 150</t>
  </si>
  <si>
    <t>2 07 05020 13 0000 150</t>
  </si>
  <si>
    <t>2 02 49999 13 0000 150</t>
  </si>
  <si>
    <t>2 02 35118 13 0000 150</t>
  </si>
  <si>
    <t>2 02 19999 13 0000 150</t>
  </si>
  <si>
    <t>2 02 30024 13 0000 150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</si>
  <si>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</si>
  <si>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85051</t>
  </si>
  <si>
    <t>Расходы за счет переданных полномочий на осуществление муниципального жилищного контроля на территории муниципального образования</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</si>
  <si>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</si>
  <si>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Муниципальная программа "Развитие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</si>
  <si>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</si>
  <si>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</si>
  <si>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Муниципальная программа "Организация благоустройства территории муниципального образования рабочий поселок Первомайский Щекинского района"</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</si>
  <si>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</si>
  <si>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Реконструкция уличного освещения</t>
  </si>
  <si>
    <t>29160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</si>
  <si>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</si>
  <si>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</si>
  <si>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</si>
  <si>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</si>
  <si>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</si>
  <si>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</si>
  <si>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F2</t>
  </si>
  <si>
    <t>55550</t>
  </si>
  <si>
    <t>Охрана окружающей среды</t>
  </si>
  <si>
    <t>Другие вопросы в области охраны окружающей среды</t>
  </si>
  <si>
    <t>9</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</si>
  <si>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</si>
  <si>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</si>
  <si>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</si>
  <si>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</si>
  <si>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Осуществление муниципального земельного контроля за использованием земель муниципального образования</t>
  </si>
  <si>
    <t>Осуществление муниципального жилищного контроля на территории муниципального образования</t>
  </si>
  <si>
    <t xml:space="preserve">Итого </t>
  </si>
  <si>
    <t>рабочий поселок  Первомайский Щёкинского района за 2020 год"</t>
  </si>
  <si>
    <t>за 2020 год</t>
  </si>
  <si>
    <t>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2020 год</t>
  </si>
  <si>
    <t>Уточненная сводная бюджетная роспись</t>
  </si>
  <si>
    <t>Укрепление материально – технической базы учреждений культуры муниципальных образований</t>
  </si>
  <si>
    <t>Субсидии бюджетам муниципальных образований на реализацию проекта «Народный бюджет»</t>
  </si>
  <si>
    <t>Оказание поддержки сельским старостам, руководителям территориальных общественных самоуправлений</t>
  </si>
  <si>
    <t>Финансовое обеспечение реализации мероприятий по сопровождению программных продуктов, обеспечивающих составление и исполнение консолидированного бюджета Щекинского района</t>
  </si>
  <si>
    <t>Прочие межбюджетные трансферты. Передаваемые бюджетам городских поселений</t>
  </si>
  <si>
    <t>000 2 02 20000 00 0000 150</t>
  </si>
  <si>
    <t>Субсидии бюджетам бюджетной системы Российской Федерации (межбюджетные субсидии)</t>
  </si>
  <si>
    <t>2 02 29999 13 0000 150</t>
  </si>
  <si>
    <t>000 2 02 29999 13 0000 150</t>
  </si>
  <si>
    <t>Прочие субсидии бюджетам городских поселений</t>
  </si>
  <si>
    <t>000 1 16 10123 01 0131 140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</si>
  <si>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</si>
  <si>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</si>
  <si>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</si>
  <si>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000 1 160 7000 01 0000 140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</si>
  <si>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</si>
  <si>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000 1 16 02020 02 0200 140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</si>
  <si>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(прочие поступления)</t>
  </si>
  <si>
    <t>Денежные взыскания (штрафы) за нарушение антимонопольного законодательства в сфере конкуренции на товарных рынках</t>
  </si>
  <si>
    <t>000 1 16 02000 00 0000 140</t>
  </si>
  <si>
    <t>ДОХОДЫ ОТ ПРОДАЖИ ЗЕМЕЛЬНЫХ УЧАСТКОВ, НАХОДЯЩИХСЯ В МУНИЦИПАЛЬНОЙ СОБСТВЕННОСТИ</t>
  </si>
  <si>
    <t>1 16 02020 02 0200 140</t>
  </si>
  <si>
    <t>1 16 07010 13 0000 140</t>
  </si>
  <si>
    <t>1 16 10123 01 0131 140</t>
  </si>
  <si>
    <t>Исполнение
плана межбюджетных трансфертов, передаваемых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2020 год</t>
  </si>
  <si>
    <t>Утверждено Решением Собрания депутатов "О бюджете муниципального образования рабочий поселок Первомайский на 2020 год и на плановый период 2021 и 2022 годов"</t>
  </si>
  <si>
    <t>таблица 1</t>
  </si>
  <si>
    <t>Перечень вопросов межмуниципального характера</t>
  </si>
  <si>
    <t>Исполнение субсидий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 за 2020 год</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</si>
  <si>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</si>
  <si>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2020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</si>
  <si>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за 2020 год</t>
  </si>
  <si>
    <t xml:space="preserve">Груп-па, под-группа видов рас-ходов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</si>
  <si>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</si>
  <si>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</si>
  <si>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Иные выплаты населению</t>
  </si>
  <si>
    <t>360</t>
  </si>
  <si>
    <t>S0530</t>
  </si>
  <si>
    <t>Расходы, связанные с профилактикой и устранением последствий распространения коронавирусной инфекции</t>
  </si>
  <si>
    <t>26752</t>
  </si>
  <si>
    <t>Членские взносы</t>
  </si>
  <si>
    <t>Реконструкция улично-дорожной сети</t>
  </si>
  <si>
    <t>29390</t>
  </si>
  <si>
    <t>Ремонт в многоквартирных домах в рамках программы "Народный бюджет"</t>
  </si>
  <si>
    <t>Капитальный ремонт жилфонда</t>
  </si>
  <si>
    <t>29380</t>
  </si>
  <si>
    <t>Субсидии бюджетам муниципальных образований на реализацию проекта "Народный бюджет"</t>
  </si>
  <si>
    <t>S0550</t>
  </si>
  <si>
    <t>Выполнение мероприятий Соглашения о межмуниципальном сотрудничестве</t>
  </si>
  <si>
    <t>29180</t>
  </si>
  <si>
    <t>Субсидии</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</si>
  <si>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</si>
  <si>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</si>
  <si>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</si>
  <si>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</si>
  <si>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Проведение независимой оценки качества условий предоставления муниципальных услуг</t>
  </si>
  <si>
    <t>29140</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</si>
  <si>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t>
  </si>
  <si>
    <t>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</si>
  <si>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группам видов расходов классификации расходов бюджетов за 2020 год</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</si>
  <si>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</si>
  <si>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</si>
  <si>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Груп-па, под-груп-па видов расхо-дов</t>
  </si>
  <si>
    <t>таблица 2</t>
  </si>
  <si>
    <t>Исполнение
бюджетных ассигнований на реализацию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за 2020 год</t>
  </si>
  <si>
    <t>Группа, под-группа видов расхо-дов</t>
  </si>
  <si>
    <t>Подпрограмма "Ремонт в многоквартирных домах в рамках программы "Народный бюджет""</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</si>
  <si>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за счет средств дорожного фонда</t>
  </si>
  <si>
    <t>Безвозмездных поступлений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</si>
  <si>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Исполнение плана бюджетных ассигнований дорожного фонда муниципального образования рабочий поселок Первомайский Щекинского района за 2020 год</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</si>
  <si>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2020 год</t>
  </si>
  <si>
    <t>Исполнение
источников внутреннего финансирования дефицита бюджета муниципального образования рабочий поселок Первомайский Щекинского района за 2020 год</t>
  </si>
  <si>
    <t xml:space="preserve">Исполнение 
источников внутреннего финансирования дефицита бюджета муниципального образования рабочий поселок Первомайский Щекинского района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за 2020 год </t>
  </si>
  <si>
    <t>Реализация мероприятий, направленных на создание (обустройство) мест (площадок) накопления твердых коммунальных отходов</t>
  </si>
  <si>
    <t>от "09" июня 2021 года №38-153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</si>
</sst>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9" formatCode="_-* #,##0_р_._-;\-* #,##0_р_._-;_-* &quot;-&quot;_р_._-;_-@_-"/>
    <numFmt numFmtId="171" formatCode="_-* #,##0.00_р_._-;\-* #,##0.00_р_._-;_-* &quot;-&quot;??_р_._-;_-@_-"/>
    <numFmt numFmtId="177" formatCode="#,##0.0"/>
    <numFmt numFmtId="181" formatCode="#,##0.0_ ;[Red]\-#,##0.0\ "/>
    <numFmt numFmtId="182" formatCode="00"/>
    <numFmt numFmtId="184" formatCode="000"/>
    <numFmt numFmtId="186" formatCode="0000"/>
    <numFmt numFmtId="187" formatCode="#,##0.0;[Red]\-#,##0.0;0.0"/>
    <numFmt numFmtId="188" formatCode="#,##0.0;[Red]\-#,##0.0"/>
  </numFmts>
  <fonts count="30">
    <font>
      <sz val="10"/>
      <name val="Arial"/>
      <family val="3"/>
      <charset val="204"/>
    </font>
    <font>
      <sz val="10"/>
      <name val="Arial Cyr"/>
      <charset val="204"/>
    </font>
    <font>
      <sz val="8"/>
      <name val="Arial"/>
      <family val="3"/>
      <charset val="204"/>
    </font>
    <font>
      <sz val="10"/>
      <name val="Arial"/>
      <family val="2"/>
      <charset val="204"/>
    </font>
    <font>
      <sz val="8"/>
      <color indexed="81"/>
      <name val="Tahoma"/>
      <family val="2"/>
      <charset val="204"/>
    </font>
    <font>
      <b/>
      <sz val="8"/>
      <color indexed="81"/>
      <name val="Tahoma"/>
      <family val="2"/>
      <charset val="204"/>
    </font>
    <font>
      <sz val="10"/>
      <name val="Tahoma"/>
      <family val="2"/>
      <charset val="204"/>
    </font>
    <font>
      <b/>
      <sz val="10"/>
      <name val="Tahoma"/>
      <family val="2"/>
      <charset val="204"/>
    </font>
    <font>
      <sz val="10"/>
      <name val="Times New Roman"/>
      <family val="1"/>
      <charset val="204"/>
    </font>
    <font>
      <sz val="11"/>
      <name val="Times New Roman"/>
      <family val="1"/>
      <charset val="204"/>
    </font>
    <font>
      <b/>
      <sz val="10"/>
      <name val="Times New Roman"/>
      <family val="1"/>
      <charset val="204"/>
    </font>
    <font>
      <i/>
      <sz val="11"/>
      <name val="Times New Roman"/>
      <family val="1"/>
      <charset val="204"/>
    </font>
    <font>
      <sz val="10"/>
      <name val="Arial"/>
      <family val="2"/>
      <charset val="204"/>
    </font>
    <font>
      <sz val="12"/>
      <name val="Times New Roman"/>
      <family val="1"/>
      <charset val="204"/>
    </font>
    <font>
      <b/>
      <sz val="12"/>
      <name val="Times New Roman"/>
      <family val="1"/>
      <charset val="204"/>
    </font>
    <font>
      <sz val="12"/>
      <name val="Traditional Arabic"/>
      <family val="1"/>
    </font>
    <font>
      <sz val="10"/>
      <color indexed="62"/>
      <name val="Times New Roman"/>
      <family val="1"/>
      <charset val="204"/>
    </font>
    <font>
      <sz val="12"/>
      <name val="Arial"/>
      <family val="2"/>
      <charset val="204"/>
    </font>
    <font>
      <sz val="12"/>
      <name val="Arial Cyr"/>
      <charset val="204"/>
    </font>
    <font>
      <sz val="12"/>
      <color indexed="8"/>
      <name val="PT Astra Serif"/>
      <family val="1"/>
      <charset val="204"/>
    </font>
    <font>
      <sz val="12"/>
      <name val="PT Astra Serif"/>
      <family val="1"/>
      <charset val="204"/>
    </font>
    <font>
      <b/>
      <sz val="14"/>
      <name val="PT Astra Serif"/>
      <family val="1"/>
      <charset val="204"/>
    </font>
    <font>
      <sz val="10"/>
      <name val="PT Astra Serif"/>
      <family val="1"/>
      <charset val="204"/>
    </font>
    <font>
      <b/>
      <sz val="12"/>
      <name val="PT Astra Serif"/>
      <family val="1"/>
      <charset val="204"/>
    </font>
    <font>
      <b/>
      <sz val="11"/>
      <name val="PT Astra Serif"/>
      <family val="1"/>
      <charset val="204"/>
    </font>
    <font>
      <sz val="11"/>
      <name val="PT Astra Serif"/>
      <family val="1"/>
      <charset val="204"/>
    </font>
    <font>
      <sz val="14"/>
      <name val="PT Astra Serif"/>
      <family val="1"/>
      <charset val="204"/>
    </font>
    <font>
      <b/>
      <sz val="10"/>
      <name val="PT Astra Serif"/>
      <family val="1"/>
      <charset val="204"/>
    </font>
    <font>
      <i/>
      <sz val="10"/>
      <name val="PT Astra Serif"/>
      <family val="1"/>
      <charset val="204"/>
    </font>
    <font>
      <i/>
      <sz val="12"/>
      <name val="PT Astra Serif"/>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3" fillId="0" borderId="0"/>
    <xf numFmtId="0" fontId="3" fillId="0" borderId="0"/>
    <xf numFmtId="0" fontId="1" fillId="0" borderId="0"/>
    <xf numFmtId="0" fontId="12" fillId="0" borderId="0"/>
    <xf numFmtId="0" fontId="1" fillId="0" borderId="0"/>
    <xf numFmtId="0" fontId="1" fillId="0" borderId="0"/>
    <xf numFmtId="49" fontId="16" fillId="2" borderId="1">
      <alignment horizontal="left" vertical="top" wrapText="1"/>
    </xf>
    <xf numFmtId="169" fontId="1" fillId="0" borderId="0" applyFont="0" applyFill="0" applyBorder="0" applyAlignment="0" applyProtection="0"/>
    <xf numFmtId="171" fontId="1" fillId="0" borderId="0" applyFont="0" applyFill="0" applyBorder="0" applyAlignment="0" applyProtection="0"/>
  </cellStyleXfs>
  <cellXfs count="267">
    <xf numFmtId="0" fontId="0" fillId="0" borderId="0" xfId="0"/>
    <xf numFmtId="0" fontId="6" fillId="0" borderId="0" xfId="0" applyFont="1"/>
    <xf numFmtId="0" fontId="6" fillId="0" borderId="0" xfId="0" applyFont="1" applyFill="1"/>
    <xf numFmtId="0" fontId="8" fillId="0" borderId="0" xfId="0" applyFont="1"/>
    <xf numFmtId="0" fontId="8" fillId="0" borderId="0" xfId="0" applyFont="1" applyAlignment="1">
      <alignment horizontal="center"/>
    </xf>
    <xf numFmtId="177" fontId="8" fillId="0" borderId="0" xfId="0" applyNumberFormat="1" applyFont="1" applyAlignment="1"/>
    <xf numFmtId="0" fontId="10" fillId="0" borderId="0" xfId="0" applyFont="1"/>
    <xf numFmtId="0" fontId="9" fillId="0" borderId="0" xfId="0" applyFont="1" applyFill="1"/>
    <xf numFmtId="0" fontId="9" fillId="0" borderId="0" xfId="0" applyFont="1"/>
    <xf numFmtId="0" fontId="9" fillId="0" borderId="0" xfId="0" applyFont="1" applyAlignment="1">
      <alignment horizontal="center"/>
    </xf>
    <xf numFmtId="49" fontId="9" fillId="0" borderId="0" xfId="0" applyNumberFormat="1" applyFont="1" applyAlignment="1">
      <alignment horizontal="center"/>
    </xf>
    <xf numFmtId="0" fontId="9" fillId="4" borderId="0" xfId="0" applyFont="1" applyFill="1"/>
    <xf numFmtId="49" fontId="6" fillId="0" borderId="0" xfId="0" applyNumberFormat="1" applyFont="1" applyFill="1"/>
    <xf numFmtId="0" fontId="11" fillId="0" borderId="0" xfId="0" applyFont="1"/>
    <xf numFmtId="177" fontId="9" fillId="0" borderId="0" xfId="0" applyNumberFormat="1" applyFont="1" applyFill="1" applyAlignment="1"/>
    <xf numFmtId="0" fontId="3" fillId="0" borderId="0" xfId="2"/>
    <xf numFmtId="0" fontId="3" fillId="0" borderId="0" xfId="2" applyProtection="1">
      <protection hidden="1"/>
    </xf>
    <xf numFmtId="0" fontId="3" fillId="0" borderId="0" xfId="2" applyAlignment="1" applyProtection="1">
      <alignment vertical="top"/>
      <protection hidden="1"/>
    </xf>
    <xf numFmtId="0" fontId="3" fillId="0" borderId="0" xfId="2" applyNumberFormat="1" applyFont="1" applyFill="1" applyAlignment="1" applyProtection="1">
      <alignment vertical="top"/>
      <protection hidden="1"/>
    </xf>
    <xf numFmtId="0" fontId="3" fillId="0" borderId="0" xfId="2" applyAlignment="1">
      <alignment vertical="top"/>
    </xf>
    <xf numFmtId="0" fontId="3" fillId="0" borderId="0" xfId="2" applyFont="1" applyProtection="1">
      <protection hidden="1"/>
    </xf>
    <xf numFmtId="0" fontId="3" fillId="0" borderId="0" xfId="2" applyFont="1"/>
    <xf numFmtId="0" fontId="1" fillId="0" borderId="0" xfId="4" applyFill="1"/>
    <xf numFmtId="0" fontId="8" fillId="0" borderId="0" xfId="4" applyFont="1" applyFill="1"/>
    <xf numFmtId="0" fontId="1" fillId="0" borderId="0" xfId="4" applyFill="1" applyAlignment="1">
      <alignment wrapText="1"/>
    </xf>
    <xf numFmtId="0" fontId="1" fillId="0" borderId="0" xfId="4" applyFont="1" applyFill="1"/>
    <xf numFmtId="0" fontId="15" fillId="0" borderId="0" xfId="0" applyFont="1"/>
    <xf numFmtId="0" fontId="15" fillId="0" borderId="0" xfId="0" applyNumberFormat="1" applyFont="1"/>
    <xf numFmtId="49" fontId="8" fillId="0" borderId="0" xfId="4" applyNumberFormat="1" applyFont="1" applyFill="1"/>
    <xf numFmtId="0" fontId="8" fillId="0" borderId="0" xfId="1" applyFont="1" applyFill="1"/>
    <xf numFmtId="0" fontId="8" fillId="0" borderId="0" xfId="1" applyFont="1" applyFill="1" applyAlignment="1">
      <alignment vertical="top"/>
    </xf>
    <xf numFmtId="0" fontId="8" fillId="0" borderId="0" xfId="1" applyFont="1" applyFill="1" applyProtection="1">
      <protection hidden="1"/>
    </xf>
    <xf numFmtId="0" fontId="14" fillId="0" borderId="0" xfId="1" applyNumberFormat="1" applyFont="1" applyFill="1" applyAlignment="1" applyProtection="1">
      <protection hidden="1"/>
    </xf>
    <xf numFmtId="0" fontId="17" fillId="0" borderId="0" xfId="2" applyFont="1" applyProtection="1">
      <protection hidden="1"/>
    </xf>
    <xf numFmtId="0" fontId="17" fillId="0" borderId="0" xfId="2" applyFont="1"/>
    <xf numFmtId="0" fontId="7" fillId="0" borderId="0" xfId="0" applyFont="1" applyAlignment="1">
      <alignment horizontal="justify" wrapText="1"/>
    </xf>
    <xf numFmtId="0" fontId="10" fillId="0" borderId="0" xfId="1" applyFont="1" applyFill="1"/>
    <xf numFmtId="0" fontId="1" fillId="0" borderId="0" xfId="4"/>
    <xf numFmtId="0" fontId="18" fillId="0" borderId="2" xfId="4" applyFont="1" applyBorder="1" applyAlignment="1"/>
    <xf numFmtId="4" fontId="1" fillId="0" borderId="0" xfId="4" applyNumberFormat="1"/>
    <xf numFmtId="0" fontId="13" fillId="0" borderId="0" xfId="4" applyFont="1" applyBorder="1" applyAlignment="1">
      <alignment horizontal="center" vertical="center" wrapText="1"/>
    </xf>
    <xf numFmtId="0" fontId="18" fillId="0" borderId="0" xfId="4" applyFont="1" applyBorder="1"/>
    <xf numFmtId="0" fontId="1" fillId="0" borderId="0" xfId="4" applyFill="1" applyBorder="1"/>
    <xf numFmtId="0" fontId="1" fillId="0" borderId="0" xfId="4" applyFont="1" applyFill="1" applyBorder="1"/>
    <xf numFmtId="0" fontId="19" fillId="0" borderId="2" xfId="0" applyNumberFormat="1" applyFont="1" applyFill="1" applyBorder="1" applyAlignment="1" applyProtection="1">
      <alignment horizontal="center" vertical="top" wrapText="1"/>
    </xf>
    <xf numFmtId="2" fontId="20" fillId="0" borderId="2" xfId="2" applyNumberFormat="1" applyFont="1" applyFill="1" applyBorder="1" applyAlignment="1" applyProtection="1">
      <alignment horizontal="center" vertical="top" wrapText="1"/>
      <protection hidden="1"/>
    </xf>
    <xf numFmtId="0" fontId="20" fillId="0" borderId="2" xfId="2" applyNumberFormat="1" applyFont="1" applyFill="1" applyBorder="1" applyAlignment="1" applyProtection="1">
      <alignment horizontal="center" vertical="top" wrapText="1"/>
      <protection hidden="1"/>
    </xf>
    <xf numFmtId="0" fontId="22" fillId="0" borderId="0" xfId="4" applyNumberFormat="1" applyFont="1" applyFill="1"/>
    <xf numFmtId="49" fontId="22" fillId="0" borderId="0" xfId="4" applyNumberFormat="1" applyFont="1" applyFill="1"/>
    <xf numFmtId="0" fontId="22" fillId="0" borderId="0" xfId="4" applyFont="1" applyFill="1" applyAlignment="1">
      <alignment horizontal="right"/>
    </xf>
    <xf numFmtId="0" fontId="20" fillId="4" borderId="2" xfId="0" applyFont="1" applyFill="1" applyBorder="1" applyAlignment="1" applyProtection="1">
      <alignment horizontal="center" vertical="top" wrapText="1"/>
      <protection locked="0"/>
    </xf>
    <xf numFmtId="49" fontId="20" fillId="4" borderId="2" xfId="0" applyNumberFormat="1" applyFont="1" applyFill="1" applyBorder="1" applyAlignment="1" applyProtection="1">
      <alignment horizontal="center" vertical="top" wrapText="1"/>
      <protection locked="0"/>
    </xf>
    <xf numFmtId="0" fontId="23" fillId="0" borderId="0" xfId="4" applyFont="1" applyFill="1" applyBorder="1" applyAlignment="1">
      <alignment wrapText="1"/>
    </xf>
    <xf numFmtId="49" fontId="23" fillId="0" borderId="0" xfId="4" applyNumberFormat="1" applyFont="1" applyFill="1" applyBorder="1"/>
    <xf numFmtId="177" fontId="23" fillId="0" borderId="0" xfId="4" applyNumberFormat="1" applyFont="1" applyFill="1" applyBorder="1"/>
    <xf numFmtId="0" fontId="23" fillId="0" borderId="0" xfId="4" applyFont="1" applyFill="1" applyBorder="1" applyAlignment="1">
      <alignment horizontal="justify" wrapText="1"/>
    </xf>
    <xf numFmtId="0" fontId="23" fillId="0" borderId="0" xfId="4" applyFont="1" applyFill="1" applyBorder="1" applyAlignment="1">
      <alignment horizontal="center" wrapText="1"/>
    </xf>
    <xf numFmtId="0" fontId="20" fillId="0" borderId="0" xfId="4" applyFont="1" applyFill="1" applyBorder="1" applyAlignment="1">
      <alignment horizontal="justify" wrapText="1"/>
    </xf>
    <xf numFmtId="0" fontId="20" fillId="0" borderId="0" xfId="4" applyFont="1" applyFill="1" applyBorder="1" applyAlignment="1">
      <alignment horizontal="center" wrapText="1"/>
    </xf>
    <xf numFmtId="49" fontId="20" fillId="0" borderId="0" xfId="4" applyNumberFormat="1" applyFont="1" applyFill="1" applyBorder="1" applyAlignment="1">
      <alignment horizontal="center"/>
    </xf>
    <xf numFmtId="177" fontId="20" fillId="0" borderId="0" xfId="4" applyNumberFormat="1" applyFont="1" applyFill="1" applyBorder="1"/>
    <xf numFmtId="0" fontId="20" fillId="0" borderId="0" xfId="4" quotePrefix="1" applyFont="1" applyFill="1" applyBorder="1" applyAlignment="1">
      <alignment horizontal="center" wrapText="1"/>
    </xf>
    <xf numFmtId="0" fontId="20" fillId="0" borderId="0" xfId="4" quotePrefix="1" applyFont="1" applyFill="1" applyBorder="1" applyAlignment="1">
      <alignment horizontal="justify" wrapText="1"/>
    </xf>
    <xf numFmtId="49" fontId="23" fillId="0" borderId="0" xfId="4" applyNumberFormat="1" applyFont="1" applyFill="1" applyBorder="1" applyAlignment="1">
      <alignment horizontal="center"/>
    </xf>
    <xf numFmtId="49" fontId="20" fillId="0" borderId="0" xfId="4" applyNumberFormat="1" applyFont="1" applyFill="1" applyBorder="1" applyAlignment="1">
      <alignment horizontal="center" wrapText="1"/>
    </xf>
    <xf numFmtId="0" fontId="20" fillId="0" borderId="0" xfId="4" applyFont="1" applyFill="1" applyBorder="1" applyAlignment="1">
      <alignment wrapText="1"/>
    </xf>
    <xf numFmtId="0" fontId="20" fillId="0" borderId="0" xfId="4" applyNumberFormat="1" applyFont="1" applyFill="1" applyBorder="1" applyAlignment="1">
      <alignment horizontal="justify" wrapText="1"/>
    </xf>
    <xf numFmtId="0" fontId="20" fillId="0" borderId="0" xfId="4" applyNumberFormat="1" applyFont="1" applyFill="1" applyBorder="1" applyAlignment="1">
      <alignment horizontal="center" wrapText="1"/>
    </xf>
    <xf numFmtId="0" fontId="22" fillId="0" borderId="0" xfId="4" applyFont="1" applyFill="1"/>
    <xf numFmtId="0" fontId="23" fillId="0"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177" fontId="23" fillId="0" borderId="0" xfId="0" applyNumberFormat="1" applyFont="1" applyFill="1" applyBorder="1" applyAlignment="1">
      <alignment horizontal="right" vertical="center" wrapText="1"/>
    </xf>
    <xf numFmtId="0" fontId="24" fillId="0" borderId="0" xfId="4" applyFont="1" applyFill="1" applyBorder="1" applyAlignment="1">
      <alignment wrapText="1"/>
    </xf>
    <xf numFmtId="0" fontId="25" fillId="0" borderId="0" xfId="4" applyFont="1" applyFill="1" applyBorder="1" applyAlignment="1">
      <alignment wrapText="1"/>
    </xf>
    <xf numFmtId="0" fontId="24" fillId="0" borderId="0" xfId="4" applyNumberFormat="1" applyFont="1" applyFill="1" applyBorder="1" applyAlignment="1">
      <alignment horizontal="center"/>
    </xf>
    <xf numFmtId="0" fontId="23" fillId="0" borderId="0" xfId="4" applyNumberFormat="1" applyFont="1" applyFill="1" applyBorder="1" applyAlignment="1">
      <alignment horizontal="justify" wrapText="1"/>
    </xf>
    <xf numFmtId="177" fontId="25" fillId="0" borderId="0" xfId="8" applyNumberFormat="1" applyFont="1" applyFill="1" applyBorder="1" applyAlignment="1">
      <alignment horizontal="center" vertical="center" wrapText="1"/>
    </xf>
    <xf numFmtId="0" fontId="25" fillId="0" borderId="0" xfId="4" applyNumberFormat="1" applyFont="1" applyFill="1" applyBorder="1" applyAlignment="1">
      <alignment horizontal="center"/>
    </xf>
    <xf numFmtId="0" fontId="23" fillId="0" borderId="0" xfId="10" applyNumberFormat="1" applyFont="1" applyFill="1" applyBorder="1" applyAlignment="1">
      <alignment horizontal="justify" wrapText="1"/>
    </xf>
    <xf numFmtId="0" fontId="20" fillId="0" borderId="0" xfId="10" applyNumberFormat="1" applyFont="1" applyFill="1" applyBorder="1" applyAlignment="1">
      <alignment horizontal="justify" wrapText="1"/>
    </xf>
    <xf numFmtId="0" fontId="24" fillId="0" borderId="3" xfId="4" applyNumberFormat="1" applyFont="1" applyFill="1" applyBorder="1" applyAlignment="1">
      <alignment horizontal="center"/>
    </xf>
    <xf numFmtId="0" fontId="23" fillId="0" borderId="3" xfId="10" applyNumberFormat="1" applyFont="1" applyFill="1" applyBorder="1" applyAlignment="1">
      <alignment horizontal="justify" wrapText="1"/>
    </xf>
    <xf numFmtId="177" fontId="23" fillId="0" borderId="3" xfId="4" applyNumberFormat="1" applyFont="1" applyFill="1" applyBorder="1"/>
    <xf numFmtId="0" fontId="25" fillId="0" borderId="3" xfId="4" applyNumberFormat="1" applyFont="1" applyFill="1" applyBorder="1" applyAlignment="1">
      <alignment horizontal="center"/>
    </xf>
    <xf numFmtId="0" fontId="20" fillId="0" borderId="2" xfId="10" applyNumberFormat="1" applyFont="1" applyFill="1" applyBorder="1" applyAlignment="1">
      <alignment horizontal="justify" wrapText="1"/>
    </xf>
    <xf numFmtId="177" fontId="20" fillId="0" borderId="2" xfId="4" applyNumberFormat="1" applyFont="1" applyFill="1" applyBorder="1"/>
    <xf numFmtId="0" fontId="20" fillId="0" borderId="2" xfId="4" applyFont="1" applyFill="1" applyBorder="1" applyAlignment="1">
      <alignment horizontal="justify" wrapText="1"/>
    </xf>
    <xf numFmtId="0" fontId="23" fillId="0" borderId="0" xfId="0" applyFont="1" applyAlignment="1">
      <alignment horizontal="justify" wrapText="1"/>
    </xf>
    <xf numFmtId="0" fontId="20" fillId="0" borderId="0" xfId="0" applyFont="1" applyAlignment="1">
      <alignment horizontal="right"/>
    </xf>
    <xf numFmtId="0" fontId="20" fillId="0" borderId="0" xfId="0" applyFont="1" applyAlignment="1">
      <alignment horizontal="justify" wrapText="1"/>
    </xf>
    <xf numFmtId="0" fontId="23" fillId="0" borderId="2" xfId="0" applyFont="1" applyFill="1" applyBorder="1" applyAlignment="1">
      <alignment horizontal="center" vertical="distributed" wrapText="1"/>
    </xf>
    <xf numFmtId="0" fontId="20" fillId="0" borderId="2" xfId="1" applyNumberFormat="1" applyFont="1" applyFill="1" applyBorder="1" applyAlignment="1" applyProtection="1">
      <alignment horizontal="center" vertical="center" wrapText="1"/>
      <protection hidden="1"/>
    </xf>
    <xf numFmtId="0" fontId="20" fillId="0" borderId="0" xfId="1" applyFont="1" applyBorder="1" applyAlignment="1">
      <alignment horizontal="center"/>
    </xf>
    <xf numFmtId="0" fontId="20" fillId="0" borderId="0" xfId="1" applyFont="1" applyBorder="1" applyAlignment="1">
      <alignment horizontal="justify" vertical="center" wrapText="1"/>
    </xf>
    <xf numFmtId="177" fontId="20" fillId="0" borderId="0" xfId="1" applyNumberFormat="1" applyFont="1" applyBorder="1" applyAlignment="1">
      <alignment horizontal="center"/>
    </xf>
    <xf numFmtId="0" fontId="20" fillId="0" borderId="0" xfId="1" applyFont="1" applyBorder="1"/>
    <xf numFmtId="0" fontId="23" fillId="0" borderId="0" xfId="6" applyFont="1" applyFill="1" applyBorder="1" applyAlignment="1">
      <alignment horizontal="left" wrapText="1"/>
    </xf>
    <xf numFmtId="177" fontId="23" fillId="0" borderId="0" xfId="1" applyNumberFormat="1" applyFont="1" applyBorder="1" applyAlignment="1">
      <alignment horizontal="center"/>
    </xf>
    <xf numFmtId="0" fontId="22" fillId="0" borderId="0" xfId="0" applyFont="1"/>
    <xf numFmtId="0" fontId="22" fillId="0" borderId="0" xfId="0" applyFont="1" applyAlignment="1">
      <alignment horizontal="right"/>
    </xf>
    <xf numFmtId="0" fontId="20" fillId="0" borderId="0" xfId="4" applyFont="1" applyFill="1" applyAlignment="1">
      <alignment horizontal="right"/>
    </xf>
    <xf numFmtId="0" fontId="22" fillId="0" borderId="0" xfId="0" applyFont="1" applyAlignment="1">
      <alignment wrapText="1"/>
    </xf>
    <xf numFmtId="0" fontId="20" fillId="0" borderId="0" xfId="0" applyFont="1"/>
    <xf numFmtId="0" fontId="20" fillId="0" borderId="0" xfId="0" applyFont="1" applyFill="1" applyAlignment="1" applyProtection="1">
      <alignment horizontal="right"/>
      <protection hidden="1"/>
    </xf>
    <xf numFmtId="0" fontId="22" fillId="0" borderId="0" xfId="1" applyFont="1"/>
    <xf numFmtId="177" fontId="22" fillId="0" borderId="0" xfId="1" applyNumberFormat="1" applyFont="1" applyAlignment="1">
      <alignment horizontal="right"/>
    </xf>
    <xf numFmtId="0" fontId="20" fillId="0" borderId="2" xfId="1" applyFont="1" applyBorder="1"/>
    <xf numFmtId="0" fontId="23" fillId="0" borderId="2" xfId="1" applyFont="1" applyBorder="1" applyAlignment="1">
      <alignment horizontal="center" vertical="center" wrapText="1"/>
    </xf>
    <xf numFmtId="0" fontId="20" fillId="0" borderId="2" xfId="1" applyNumberFormat="1" applyFont="1" applyFill="1" applyBorder="1" applyAlignment="1" applyProtection="1">
      <alignment horizontal="center" vertical="distributed" wrapText="1"/>
      <protection hidden="1"/>
    </xf>
    <xf numFmtId="0" fontId="26" fillId="0" borderId="0" xfId="1" applyFont="1" applyFill="1" applyProtection="1">
      <protection hidden="1"/>
    </xf>
    <xf numFmtId="0" fontId="20" fillId="0" borderId="0" xfId="1" applyFont="1" applyFill="1" applyAlignment="1" applyProtection="1">
      <alignment horizontal="right"/>
      <protection hidden="1"/>
    </xf>
    <xf numFmtId="0" fontId="20" fillId="0" borderId="2" xfId="1" applyNumberFormat="1" applyFont="1" applyFill="1" applyBorder="1" applyAlignment="1" applyProtection="1">
      <alignment horizontal="center" vertical="top" wrapText="1"/>
      <protection hidden="1"/>
    </xf>
    <xf numFmtId="0" fontId="20" fillId="0" borderId="0" xfId="1" applyNumberFormat="1" applyFont="1" applyFill="1" applyBorder="1" applyAlignment="1" applyProtection="1">
      <alignment horizontal="justify" wrapText="1"/>
      <protection hidden="1"/>
    </xf>
    <xf numFmtId="182" fontId="20" fillId="0" borderId="0" xfId="1" applyNumberFormat="1" applyFont="1" applyFill="1" applyBorder="1" applyAlignment="1" applyProtection="1">
      <protection hidden="1"/>
    </xf>
    <xf numFmtId="188" fontId="20" fillId="0" borderId="0" xfId="1" applyNumberFormat="1" applyFont="1" applyFill="1" applyBorder="1" applyAlignment="1" applyProtection="1">
      <protection hidden="1"/>
    </xf>
    <xf numFmtId="0" fontId="23" fillId="0" borderId="0" xfId="1" applyNumberFormat="1" applyFont="1" applyFill="1" applyBorder="1" applyAlignment="1" applyProtection="1">
      <protection hidden="1"/>
    </xf>
    <xf numFmtId="188" fontId="23" fillId="0" borderId="0" xfId="1" applyNumberFormat="1" applyFont="1" applyFill="1" applyBorder="1" applyAlignment="1" applyProtection="1">
      <protection hidden="1"/>
    </xf>
    <xf numFmtId="0" fontId="22" fillId="0" borderId="0" xfId="1" applyFont="1" applyFill="1" applyProtection="1">
      <protection hidden="1"/>
    </xf>
    <xf numFmtId="181" fontId="22" fillId="0" borderId="0" xfId="1" applyNumberFormat="1" applyFont="1" applyFill="1" applyProtection="1">
      <protection hidden="1"/>
    </xf>
    <xf numFmtId="0" fontId="22" fillId="0" borderId="0" xfId="1" applyFont="1" applyFill="1"/>
    <xf numFmtId="49" fontId="22" fillId="0" borderId="0" xfId="4" applyNumberFormat="1" applyFont="1" applyFill="1" applyAlignment="1">
      <alignment horizontal="center" wrapText="1"/>
    </xf>
    <xf numFmtId="0" fontId="20" fillId="0" borderId="0" xfId="4" applyFont="1" applyFill="1"/>
    <xf numFmtId="0" fontId="22" fillId="0" borderId="0" xfId="4" applyFont="1" applyFill="1" applyAlignment="1">
      <alignment horizontal="center" wrapText="1"/>
    </xf>
    <xf numFmtId="0" fontId="22" fillId="0" borderId="0" xfId="0" applyFont="1" applyAlignment="1">
      <alignment horizontal="center"/>
    </xf>
    <xf numFmtId="177" fontId="22" fillId="0" borderId="0" xfId="0" applyNumberFormat="1" applyFont="1" applyAlignment="1"/>
    <xf numFmtId="0" fontId="25" fillId="0" borderId="0" xfId="0" applyFont="1"/>
    <xf numFmtId="0" fontId="25" fillId="0" borderId="0" xfId="0" applyFont="1" applyAlignment="1">
      <alignment horizontal="right"/>
    </xf>
    <xf numFmtId="0" fontId="21" fillId="0" borderId="0" xfId="0" applyFont="1" applyFill="1" applyAlignment="1">
      <alignment wrapText="1"/>
    </xf>
    <xf numFmtId="0" fontId="24" fillId="0" borderId="0" xfId="0" applyFont="1" applyFill="1" applyAlignment="1">
      <alignment wrapText="1"/>
    </xf>
    <xf numFmtId="0" fontId="22" fillId="0" borderId="0" xfId="0" applyFont="1" applyFill="1"/>
    <xf numFmtId="177" fontId="22" fillId="0" borderId="0" xfId="0" applyNumberFormat="1" applyFont="1" applyFill="1" applyBorder="1" applyAlignment="1"/>
    <xf numFmtId="177" fontId="25" fillId="0" borderId="0" xfId="0" applyNumberFormat="1" applyFont="1" applyFill="1" applyBorder="1" applyAlignment="1"/>
    <xf numFmtId="0" fontId="25" fillId="0" borderId="0" xfId="0" applyFont="1" applyFill="1" applyAlignment="1">
      <alignment horizontal="right"/>
    </xf>
    <xf numFmtId="0" fontId="20" fillId="0" borderId="2" xfId="0" applyFont="1" applyFill="1" applyBorder="1" applyAlignment="1">
      <alignment horizontal="center" vertical="center" wrapText="1"/>
    </xf>
    <xf numFmtId="2" fontId="20" fillId="0" borderId="0" xfId="2" applyNumberFormat="1" applyFont="1" applyFill="1" applyBorder="1" applyAlignment="1" applyProtection="1">
      <alignment horizontal="left" vertical="center" wrapText="1"/>
      <protection hidden="1"/>
    </xf>
    <xf numFmtId="182" fontId="20" fillId="0" borderId="0" xfId="2" applyNumberFormat="1" applyFont="1" applyFill="1" applyBorder="1" applyAlignment="1" applyProtection="1">
      <alignment horizontal="center" vertical="center" wrapText="1"/>
      <protection hidden="1"/>
    </xf>
    <xf numFmtId="0" fontId="20" fillId="0" borderId="0" xfId="2" applyNumberFormat="1" applyFont="1" applyFill="1" applyBorder="1" applyAlignment="1" applyProtection="1">
      <alignment horizontal="right" vertical="center" wrapText="1"/>
      <protection hidden="1"/>
    </xf>
    <xf numFmtId="0" fontId="20" fillId="0" borderId="0" xfId="2" applyNumberFormat="1" applyFont="1" applyFill="1" applyBorder="1" applyAlignment="1" applyProtection="1">
      <alignment horizontal="center" vertical="center" wrapText="1"/>
      <protection hidden="1"/>
    </xf>
    <xf numFmtId="0" fontId="20" fillId="0" borderId="0" xfId="2" applyNumberFormat="1" applyFont="1" applyFill="1" applyBorder="1" applyAlignment="1" applyProtection="1">
      <alignment horizontal="left" vertical="center" wrapText="1"/>
      <protection hidden="1"/>
    </xf>
    <xf numFmtId="0" fontId="20" fillId="0" borderId="0" xfId="2" applyNumberFormat="1" applyFont="1" applyFill="1" applyBorder="1" applyAlignment="1" applyProtection="1">
      <alignment horizontal="left" vertical="center"/>
      <protection hidden="1"/>
    </xf>
    <xf numFmtId="177" fontId="20" fillId="0" borderId="0" xfId="2" applyNumberFormat="1" applyFont="1" applyFill="1" applyBorder="1" applyAlignment="1" applyProtection="1">
      <alignment vertical="center" wrapText="1"/>
      <protection hidden="1"/>
    </xf>
    <xf numFmtId="1" fontId="20" fillId="0" borderId="0" xfId="7" applyNumberFormat="1" applyFont="1" applyFill="1" applyBorder="1" applyAlignment="1">
      <alignment horizontal="justify" wrapText="1"/>
    </xf>
    <xf numFmtId="49" fontId="20" fillId="0" borderId="0" xfId="1" applyNumberFormat="1" applyFont="1" applyFill="1" applyBorder="1" applyAlignment="1">
      <alignment horizontal="center" wrapText="1"/>
    </xf>
    <xf numFmtId="1" fontId="20" fillId="0" borderId="0" xfId="1" applyNumberFormat="1" applyFont="1" applyFill="1" applyBorder="1" applyAlignment="1">
      <alignment horizontal="center" wrapText="1"/>
    </xf>
    <xf numFmtId="177" fontId="20" fillId="0" borderId="0" xfId="1" applyNumberFormat="1" applyFont="1" applyFill="1" applyBorder="1" applyAlignment="1"/>
    <xf numFmtId="1" fontId="20" fillId="0" borderId="0" xfId="1" applyNumberFormat="1" applyFont="1" applyFill="1" applyBorder="1" applyAlignment="1">
      <alignment horizontal="justify" wrapText="1"/>
    </xf>
    <xf numFmtId="177" fontId="20" fillId="0" borderId="0" xfId="1" applyNumberFormat="1" applyFont="1" applyFill="1" applyBorder="1" applyAlignment="1">
      <alignment horizontal="right" wrapText="1"/>
    </xf>
    <xf numFmtId="0" fontId="20" fillId="0" borderId="0" xfId="2" applyNumberFormat="1" applyFont="1" applyFill="1" applyBorder="1" applyAlignment="1" applyProtection="1">
      <alignment horizontal="justify" wrapText="1"/>
      <protection hidden="1"/>
    </xf>
    <xf numFmtId="1" fontId="20" fillId="0" borderId="0" xfId="6" applyNumberFormat="1" applyFont="1" applyFill="1" applyBorder="1" applyAlignment="1">
      <alignment horizontal="justify" wrapText="1"/>
    </xf>
    <xf numFmtId="0" fontId="25" fillId="0" borderId="0" xfId="2" applyNumberFormat="1" applyFont="1" applyFill="1" applyBorder="1" applyAlignment="1" applyProtection="1">
      <alignment horizontal="justify" wrapText="1"/>
      <protection hidden="1"/>
    </xf>
    <xf numFmtId="0" fontId="20" fillId="0" borderId="0" xfId="2" applyNumberFormat="1" applyFont="1" applyFill="1" applyBorder="1" applyAlignment="1" applyProtection="1">
      <alignment horizontal="right" wrapText="1"/>
      <protection hidden="1"/>
    </xf>
    <xf numFmtId="1" fontId="20" fillId="0" borderId="0" xfId="1" applyNumberFormat="1" applyFont="1" applyFill="1" applyBorder="1" applyAlignment="1">
      <alignment horizontal="left" wrapText="1"/>
    </xf>
    <xf numFmtId="0" fontId="20" fillId="0" borderId="0" xfId="1" applyFont="1" applyFill="1" applyBorder="1" applyAlignment="1">
      <alignment horizontal="justify" wrapText="1"/>
    </xf>
    <xf numFmtId="0" fontId="20" fillId="0" borderId="0" xfId="1" applyFont="1" applyFill="1" applyBorder="1"/>
    <xf numFmtId="0" fontId="20" fillId="0" borderId="0" xfId="1" applyFont="1" applyFill="1" applyBorder="1" applyAlignment="1">
      <alignment horizontal="center"/>
    </xf>
    <xf numFmtId="0" fontId="20" fillId="0" borderId="0" xfId="2" applyNumberFormat="1" applyFont="1" applyFill="1" applyBorder="1" applyAlignment="1" applyProtection="1">
      <alignment horizontal="left" wrapText="1"/>
      <protection hidden="1"/>
    </xf>
    <xf numFmtId="0" fontId="23" fillId="0" borderId="0" xfId="1" applyFont="1" applyFill="1" applyBorder="1" applyAlignment="1">
      <alignment horizontal="justify"/>
    </xf>
    <xf numFmtId="49" fontId="23" fillId="0" borderId="0" xfId="1" applyNumberFormat="1" applyFont="1" applyFill="1" applyBorder="1" applyAlignment="1">
      <alignment horizontal="center"/>
    </xf>
    <xf numFmtId="0" fontId="23" fillId="0" borderId="0" xfId="1" applyFont="1" applyFill="1" applyBorder="1" applyAlignment="1">
      <alignment horizontal="center"/>
    </xf>
    <xf numFmtId="0" fontId="23" fillId="0" borderId="0" xfId="1" applyFont="1" applyFill="1" applyBorder="1" applyAlignment="1"/>
    <xf numFmtId="177" fontId="23" fillId="0" borderId="0" xfId="1" applyNumberFormat="1" applyFont="1" applyFill="1" applyBorder="1" applyAlignment="1"/>
    <xf numFmtId="0" fontId="25" fillId="0" borderId="0" xfId="0" applyFont="1" applyAlignment="1">
      <alignment horizontal="center"/>
    </xf>
    <xf numFmtId="49" fontId="25" fillId="0" borderId="0" xfId="0" applyNumberFormat="1" applyFont="1" applyAlignment="1">
      <alignment horizontal="center"/>
    </xf>
    <xf numFmtId="177" fontId="25" fillId="0" borderId="0" xfId="0" applyNumberFormat="1" applyFont="1" applyFill="1" applyAlignment="1"/>
    <xf numFmtId="0" fontId="22" fillId="0" borderId="0" xfId="0" applyFont="1" applyFill="1" applyAlignment="1">
      <alignment horizontal="right"/>
    </xf>
    <xf numFmtId="2" fontId="23" fillId="0" borderId="0" xfId="2" applyNumberFormat="1" applyFont="1" applyFill="1" applyBorder="1" applyAlignment="1" applyProtection="1">
      <alignment horizontal="left" vertical="center" wrapText="1"/>
      <protection hidden="1"/>
    </xf>
    <xf numFmtId="184" fontId="23" fillId="0" borderId="0" xfId="2" applyNumberFormat="1" applyFont="1" applyFill="1" applyBorder="1" applyAlignment="1" applyProtection="1">
      <alignment horizontal="center" vertical="center" wrapText="1"/>
      <protection hidden="1"/>
    </xf>
    <xf numFmtId="182" fontId="23" fillId="0" borderId="0" xfId="2" applyNumberFormat="1" applyFont="1" applyFill="1" applyBorder="1" applyAlignment="1" applyProtection="1">
      <alignment horizontal="center" vertical="center" wrapText="1"/>
      <protection hidden="1"/>
    </xf>
    <xf numFmtId="0" fontId="23" fillId="0" borderId="0" xfId="2" applyNumberFormat="1" applyFont="1" applyFill="1" applyBorder="1" applyAlignment="1" applyProtection="1">
      <alignment horizontal="right" vertical="center" wrapText="1"/>
      <protection hidden="1"/>
    </xf>
    <xf numFmtId="0" fontId="23" fillId="0" borderId="0" xfId="2" applyNumberFormat="1" applyFont="1" applyFill="1" applyBorder="1" applyAlignment="1" applyProtection="1">
      <alignment horizontal="center" vertical="center" wrapText="1"/>
      <protection hidden="1"/>
    </xf>
    <xf numFmtId="0" fontId="23" fillId="0" borderId="0" xfId="2" applyNumberFormat="1" applyFont="1" applyFill="1" applyBorder="1" applyAlignment="1" applyProtection="1">
      <alignment horizontal="left" vertical="center" wrapText="1"/>
      <protection hidden="1"/>
    </xf>
    <xf numFmtId="0" fontId="23" fillId="0" borderId="0" xfId="2" applyNumberFormat="1" applyFont="1" applyFill="1" applyBorder="1" applyAlignment="1" applyProtection="1">
      <alignment horizontal="left" vertical="center"/>
      <protection hidden="1"/>
    </xf>
    <xf numFmtId="177" fontId="23" fillId="0" borderId="0" xfId="2" applyNumberFormat="1" applyFont="1" applyFill="1" applyBorder="1" applyAlignment="1" applyProtection="1">
      <alignment vertical="center" wrapText="1"/>
      <protection hidden="1"/>
    </xf>
    <xf numFmtId="184" fontId="20" fillId="0" borderId="0" xfId="2" applyNumberFormat="1" applyFont="1" applyFill="1" applyBorder="1" applyAlignment="1" applyProtection="1">
      <alignment horizontal="center" vertical="center" wrapText="1"/>
      <protection hidden="1"/>
    </xf>
    <xf numFmtId="184" fontId="20" fillId="0" borderId="0" xfId="2" applyNumberFormat="1" applyFont="1" applyFill="1" applyBorder="1" applyAlignment="1" applyProtection="1">
      <alignment horizontal="center" wrapText="1"/>
      <protection hidden="1"/>
    </xf>
    <xf numFmtId="0" fontId="27" fillId="0" borderId="0" xfId="0" applyFont="1" applyAlignment="1">
      <alignment horizontal="justify" wrapText="1"/>
    </xf>
    <xf numFmtId="49" fontId="22" fillId="0" borderId="0" xfId="0" applyNumberFormat="1" applyFont="1" applyFill="1"/>
    <xf numFmtId="0" fontId="24" fillId="0" borderId="0" xfId="0" applyFont="1" applyFill="1" applyBorder="1" applyAlignment="1">
      <alignment horizontal="justify" vertical="center" wrapText="1"/>
    </xf>
    <xf numFmtId="0" fontId="25" fillId="0" borderId="0" xfId="0" applyFont="1" applyFill="1" applyBorder="1" applyAlignment="1">
      <alignment vertical="center" wrapText="1"/>
    </xf>
    <xf numFmtId="49" fontId="25" fillId="0" borderId="0" xfId="0" applyNumberFormat="1" applyFont="1" applyFill="1" applyBorder="1" applyAlignment="1">
      <alignment vertical="center" wrapText="1"/>
    </xf>
    <xf numFmtId="0" fontId="25" fillId="0" borderId="0" xfId="0" applyFont="1" applyFill="1" applyBorder="1" applyAlignment="1">
      <alignment horizontal="right" wrapText="1"/>
    </xf>
    <xf numFmtId="2" fontId="20" fillId="0" borderId="4" xfId="2" applyNumberFormat="1" applyFont="1" applyFill="1" applyBorder="1" applyAlignment="1" applyProtection="1">
      <alignment horizontal="justify" vertical="center" wrapText="1"/>
      <protection hidden="1"/>
    </xf>
    <xf numFmtId="49" fontId="20" fillId="0" borderId="4" xfId="2" applyNumberFormat="1" applyFont="1" applyFill="1" applyBorder="1" applyAlignment="1" applyProtection="1">
      <alignment horizontal="center" vertical="center" wrapText="1"/>
      <protection hidden="1"/>
    </xf>
    <xf numFmtId="0" fontId="20" fillId="0" borderId="4" xfId="2" applyNumberFormat="1" applyFont="1" applyFill="1" applyBorder="1" applyAlignment="1" applyProtection="1">
      <alignment horizontal="center" vertical="center" wrapText="1"/>
      <protection hidden="1"/>
    </xf>
    <xf numFmtId="184" fontId="20" fillId="0" borderId="4" xfId="2" applyNumberFormat="1" applyFont="1" applyFill="1" applyBorder="1" applyAlignment="1" applyProtection="1">
      <alignment horizontal="center" vertical="center" wrapText="1"/>
      <protection hidden="1"/>
    </xf>
    <xf numFmtId="182" fontId="20" fillId="0" borderId="4" xfId="2" applyNumberFormat="1" applyFont="1" applyFill="1" applyBorder="1" applyAlignment="1" applyProtection="1">
      <alignment horizontal="center" vertical="center" wrapText="1"/>
      <protection hidden="1"/>
    </xf>
    <xf numFmtId="4" fontId="20" fillId="0" borderId="4" xfId="2" applyNumberFormat="1" applyFont="1" applyFill="1" applyBorder="1" applyAlignment="1" applyProtection="1">
      <alignment vertical="center" wrapText="1"/>
      <protection hidden="1"/>
    </xf>
    <xf numFmtId="2" fontId="20" fillId="0" borderId="0" xfId="2" applyNumberFormat="1" applyFont="1" applyFill="1" applyBorder="1" applyAlignment="1" applyProtection="1">
      <alignment horizontal="justify" vertical="center" wrapText="1"/>
      <protection hidden="1"/>
    </xf>
    <xf numFmtId="49" fontId="20" fillId="0" borderId="0" xfId="2" applyNumberFormat="1" applyFont="1" applyFill="1" applyBorder="1" applyAlignment="1" applyProtection="1">
      <alignment horizontal="center" vertical="center" wrapText="1"/>
      <protection hidden="1"/>
    </xf>
    <xf numFmtId="4" fontId="20" fillId="0" borderId="0" xfId="2" applyNumberFormat="1" applyFont="1" applyFill="1" applyBorder="1" applyAlignment="1" applyProtection="1">
      <alignment vertical="center" wrapText="1"/>
      <protection hidden="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177" fontId="19" fillId="0" borderId="0" xfId="0" applyNumberFormat="1" applyFont="1" applyFill="1" applyBorder="1" applyAlignment="1" applyProtection="1">
      <alignment horizontal="right" vertical="center" wrapText="1"/>
    </xf>
    <xf numFmtId="0" fontId="22" fillId="0" borderId="0" xfId="2" applyFont="1"/>
    <xf numFmtId="0" fontId="25" fillId="0" borderId="0" xfId="2" applyFont="1" applyAlignment="1"/>
    <xf numFmtId="0" fontId="25" fillId="0" borderId="0" xfId="2" applyNumberFormat="1" applyFont="1" applyFill="1" applyAlignment="1" applyProtection="1">
      <alignment vertical="center"/>
      <protection hidden="1"/>
    </xf>
    <xf numFmtId="0" fontId="22" fillId="0" borderId="0" xfId="2" applyFont="1" applyProtection="1">
      <protection hidden="1"/>
    </xf>
    <xf numFmtId="0" fontId="24" fillId="0" borderId="0" xfId="2" applyNumberFormat="1" applyFont="1" applyFill="1" applyAlignment="1" applyProtection="1">
      <alignment horizontal="center" vertical="center" wrapText="1"/>
      <protection hidden="1"/>
    </xf>
    <xf numFmtId="0" fontId="21" fillId="0" borderId="5" xfId="2" applyNumberFormat="1" applyFont="1" applyFill="1" applyBorder="1" applyAlignment="1" applyProtection="1">
      <alignment horizontal="center" vertical="center" wrapText="1"/>
      <protection hidden="1"/>
    </xf>
    <xf numFmtId="0" fontId="20" fillId="0" borderId="5" xfId="2" applyNumberFormat="1" applyFont="1" applyFill="1" applyBorder="1" applyAlignment="1" applyProtection="1">
      <alignment horizontal="right"/>
      <protection hidden="1"/>
    </xf>
    <xf numFmtId="0" fontId="20" fillId="0" borderId="2" xfId="3" applyNumberFormat="1" applyFont="1" applyFill="1" applyBorder="1" applyAlignment="1" applyProtection="1">
      <alignment horizontal="center" vertical="top" wrapText="1"/>
      <protection hidden="1"/>
    </xf>
    <xf numFmtId="1" fontId="20" fillId="0" borderId="0" xfId="3" applyNumberFormat="1" applyFont="1" applyFill="1" applyBorder="1" applyAlignment="1" applyProtection="1">
      <alignment horizontal="center" vertical="center"/>
      <protection hidden="1"/>
    </xf>
    <xf numFmtId="182" fontId="20" fillId="0" borderId="0" xfId="3" applyNumberFormat="1" applyFont="1" applyFill="1" applyBorder="1" applyAlignment="1" applyProtection="1">
      <alignment horizontal="justify" vertical="center" wrapText="1"/>
      <protection hidden="1"/>
    </xf>
    <xf numFmtId="182" fontId="20" fillId="0" borderId="0" xfId="3" applyNumberFormat="1" applyFont="1" applyFill="1" applyBorder="1" applyAlignment="1" applyProtection="1">
      <alignment horizontal="center" vertical="center"/>
      <protection hidden="1"/>
    </xf>
    <xf numFmtId="182" fontId="20" fillId="0" borderId="0" xfId="3" applyNumberFormat="1" applyFont="1" applyFill="1" applyBorder="1" applyAlignment="1" applyProtection="1">
      <alignment horizontal="right" vertical="center"/>
      <protection hidden="1"/>
    </xf>
    <xf numFmtId="186" fontId="20" fillId="0" borderId="0" xfId="3" applyNumberFormat="1" applyFont="1" applyFill="1" applyBorder="1" applyAlignment="1" applyProtection="1">
      <alignment horizontal="left" vertical="center"/>
      <protection hidden="1"/>
    </xf>
    <xf numFmtId="184" fontId="20" fillId="0" borderId="0" xfId="3" applyNumberFormat="1" applyFont="1" applyFill="1" applyBorder="1" applyAlignment="1" applyProtection="1">
      <alignment horizontal="center" vertical="center"/>
      <protection hidden="1"/>
    </xf>
    <xf numFmtId="187" fontId="20" fillId="0" borderId="0" xfId="3" applyNumberFormat="1" applyFont="1" applyFill="1" applyBorder="1" applyAlignment="1" applyProtection="1">
      <alignment horizontal="right"/>
      <protection hidden="1"/>
    </xf>
    <xf numFmtId="49" fontId="20" fillId="4" borderId="0" xfId="1" applyNumberFormat="1" applyFont="1" applyFill="1" applyBorder="1" applyAlignment="1">
      <alignment horizontal="center" wrapText="1"/>
    </xf>
    <xf numFmtId="182" fontId="25" fillId="0" borderId="0" xfId="3" applyNumberFormat="1" applyFont="1" applyFill="1" applyBorder="1" applyAlignment="1" applyProtection="1">
      <alignment horizontal="center" vertical="center"/>
      <protection hidden="1"/>
    </xf>
    <xf numFmtId="49" fontId="20" fillId="0" borderId="0" xfId="3" applyNumberFormat="1" applyFont="1" applyFill="1" applyBorder="1" applyAlignment="1" applyProtection="1">
      <alignment horizontal="left" vertical="center"/>
      <protection hidden="1"/>
    </xf>
    <xf numFmtId="186" fontId="20" fillId="0" borderId="0" xfId="3" applyNumberFormat="1" applyFont="1" applyFill="1" applyBorder="1" applyAlignment="1" applyProtection="1">
      <alignment horizontal="center" vertical="center"/>
      <protection hidden="1"/>
    </xf>
    <xf numFmtId="187" fontId="20" fillId="0" borderId="0" xfId="3" applyNumberFormat="1" applyFont="1" applyFill="1" applyBorder="1" applyAlignment="1" applyProtection="1">
      <alignment horizontal="right" vertical="center"/>
      <protection hidden="1"/>
    </xf>
    <xf numFmtId="0" fontId="23" fillId="0" borderId="0" xfId="2" applyNumberFormat="1" applyFont="1" applyFill="1" applyAlignment="1" applyProtection="1">
      <protection hidden="1"/>
    </xf>
    <xf numFmtId="0" fontId="23" fillId="0" borderId="0" xfId="2" applyNumberFormat="1" applyFont="1" applyFill="1" applyAlignment="1" applyProtection="1">
      <alignment horizontal="right"/>
      <protection hidden="1"/>
    </xf>
    <xf numFmtId="0" fontId="22" fillId="0" borderId="0" xfId="4" applyFont="1"/>
    <xf numFmtId="0" fontId="20" fillId="0" borderId="0" xfId="4" applyFont="1" applyAlignment="1"/>
    <xf numFmtId="0" fontId="27" fillId="0" borderId="0" xfId="4" applyFont="1"/>
    <xf numFmtId="0" fontId="22" fillId="0" borderId="0" xfId="4" applyFont="1" applyAlignment="1">
      <alignment horizontal="center"/>
    </xf>
    <xf numFmtId="0" fontId="23" fillId="0" borderId="2" xfId="4" applyFont="1" applyBorder="1" applyAlignment="1">
      <alignment horizontal="center" vertical="center" wrapText="1"/>
    </xf>
    <xf numFmtId="0" fontId="20" fillId="0" borderId="0" xfId="4" applyFont="1" applyBorder="1" applyAlignment="1">
      <alignment horizontal="justify" wrapText="1"/>
    </xf>
    <xf numFmtId="177" fontId="20" fillId="0" borderId="0" xfId="4" applyNumberFormat="1" applyFont="1" applyBorder="1" applyAlignment="1">
      <alignment horizontal="right"/>
    </xf>
    <xf numFmtId="0" fontId="20" fillId="0" borderId="0" xfId="4" applyFont="1" applyBorder="1" applyAlignment="1">
      <alignment horizontal="justify"/>
    </xf>
    <xf numFmtId="0" fontId="25" fillId="0" borderId="0" xfId="0" applyNumberFormat="1" applyFont="1" applyAlignment="1"/>
    <xf numFmtId="0" fontId="20" fillId="0" borderId="2" xfId="0" applyFont="1" applyFill="1" applyBorder="1" applyAlignment="1">
      <alignment horizontal="center" vertical="top" wrapText="1"/>
    </xf>
    <xf numFmtId="0" fontId="23" fillId="0" borderId="2" xfId="0" applyFont="1" applyFill="1" applyBorder="1" applyAlignment="1" applyProtection="1">
      <alignment vertical="center" wrapText="1"/>
      <protection locked="0"/>
    </xf>
    <xf numFmtId="177" fontId="23" fillId="0" borderId="2" xfId="0" applyNumberFormat="1" applyFont="1" applyBorder="1"/>
    <xf numFmtId="0" fontId="23" fillId="3" borderId="2" xfId="0" applyFont="1" applyFill="1" applyBorder="1" applyAlignment="1">
      <alignment horizontal="left" wrapText="1"/>
    </xf>
    <xf numFmtId="177" fontId="23" fillId="3" borderId="2" xfId="9" applyNumberFormat="1" applyFont="1" applyFill="1" applyBorder="1" applyAlignment="1"/>
    <xf numFmtId="0" fontId="20" fillId="0" borderId="2" xfId="0" applyFont="1" applyFill="1" applyBorder="1" applyAlignment="1" applyProtection="1">
      <alignment vertical="center" wrapText="1"/>
      <protection locked="0"/>
    </xf>
    <xf numFmtId="177" fontId="20" fillId="0" borderId="2" xfId="0" applyNumberFormat="1" applyFont="1" applyFill="1" applyBorder="1" applyAlignment="1" applyProtection="1">
      <alignment vertical="center" wrapText="1"/>
      <protection locked="0"/>
    </xf>
    <xf numFmtId="0" fontId="20" fillId="0" borderId="2" xfId="0" applyFont="1" applyFill="1" applyBorder="1" applyAlignment="1">
      <alignment vertical="top" wrapText="1"/>
    </xf>
    <xf numFmtId="0" fontId="20" fillId="3" borderId="2" xfId="0" applyFont="1" applyFill="1" applyBorder="1" applyAlignment="1">
      <alignment horizontal="left" wrapText="1"/>
    </xf>
    <xf numFmtId="0" fontId="20" fillId="3" borderId="2" xfId="0" applyFont="1" applyFill="1" applyBorder="1" applyAlignment="1">
      <alignment horizontal="center" wrapText="1"/>
    </xf>
    <xf numFmtId="177" fontId="20" fillId="3" borderId="2" xfId="9" applyNumberFormat="1" applyFont="1" applyFill="1" applyBorder="1" applyAlignment="1"/>
    <xf numFmtId="177" fontId="29" fillId="3" borderId="2" xfId="9" applyNumberFormat="1" applyFont="1" applyFill="1" applyBorder="1" applyAlignment="1"/>
    <xf numFmtId="0" fontId="23" fillId="0" borderId="2" xfId="0" applyFont="1" applyBorder="1" applyAlignment="1">
      <alignment horizontal="center"/>
    </xf>
    <xf numFmtId="0" fontId="23" fillId="0" borderId="2" xfId="0" applyFont="1" applyFill="1" applyBorder="1" applyAlignment="1" applyProtection="1">
      <alignment horizontal="justify" vertical="center" wrapText="1"/>
      <protection locked="0"/>
    </xf>
    <xf numFmtId="177" fontId="23" fillId="0" borderId="2" xfId="0" applyNumberFormat="1" applyFont="1" applyFill="1" applyBorder="1" applyAlignment="1" applyProtection="1">
      <alignment wrapText="1"/>
      <protection locked="0"/>
    </xf>
    <xf numFmtId="0" fontId="25" fillId="0" borderId="2" xfId="0" applyFont="1" applyBorder="1"/>
    <xf numFmtId="0" fontId="23" fillId="3" borderId="2" xfId="0" applyFont="1" applyFill="1" applyBorder="1" applyAlignment="1">
      <alignment horizontal="justify" wrapText="1"/>
    </xf>
    <xf numFmtId="0" fontId="20" fillId="3" borderId="2" xfId="0" applyFont="1" applyFill="1" applyBorder="1" applyAlignment="1">
      <alignment horizontal="justify" wrapText="1"/>
    </xf>
    <xf numFmtId="0" fontId="21" fillId="0" borderId="0" xfId="0" applyNumberFormat="1" applyFont="1" applyAlignment="1">
      <alignment horizontal="center" vertical="center" wrapText="1"/>
    </xf>
    <xf numFmtId="0" fontId="21" fillId="0" borderId="0" xfId="0" applyNumberFormat="1" applyFont="1" applyAlignment="1">
      <alignment horizontal="center" wrapText="1"/>
    </xf>
    <xf numFmtId="0" fontId="21" fillId="0" borderId="0" xfId="0" applyNumberFormat="1" applyFont="1" applyAlignment="1">
      <alignment horizontal="center"/>
    </xf>
    <xf numFmtId="0" fontId="20" fillId="4" borderId="2" xfId="0" applyFont="1" applyFill="1" applyBorder="1" applyAlignment="1" applyProtection="1">
      <alignment horizontal="center" vertical="top" wrapText="1"/>
      <protection locked="0"/>
    </xf>
    <xf numFmtId="0" fontId="21" fillId="0" borderId="0" xfId="0" applyFont="1" applyAlignment="1">
      <alignment horizontal="center" wrapText="1"/>
    </xf>
    <xf numFmtId="0" fontId="21" fillId="0" borderId="0" xfId="1" applyFont="1" applyAlignment="1">
      <alignment horizontal="center" vertical="center" wrapText="1"/>
    </xf>
    <xf numFmtId="0" fontId="21" fillId="0" borderId="0" xfId="1" applyNumberFormat="1" applyFont="1" applyFill="1" applyAlignment="1" applyProtection="1">
      <alignment horizontal="center" wrapText="1"/>
      <protection hidden="1"/>
    </xf>
    <xf numFmtId="0" fontId="20" fillId="0" borderId="2" xfId="2" applyNumberFormat="1" applyFont="1" applyFill="1" applyBorder="1" applyAlignment="1" applyProtection="1">
      <alignment horizontal="center" vertical="top" wrapText="1"/>
      <protection hidden="1"/>
    </xf>
    <xf numFmtId="0" fontId="21" fillId="0" borderId="0" xfId="0" applyFont="1" applyFill="1" applyAlignment="1">
      <alignment horizontal="center" wrapText="1"/>
    </xf>
    <xf numFmtId="49" fontId="20" fillId="0" borderId="0" xfId="1" applyNumberFormat="1" applyFont="1" applyFill="1" applyBorder="1" applyAlignment="1">
      <alignment horizontal="center" wrapText="1"/>
    </xf>
    <xf numFmtId="1" fontId="20" fillId="0" borderId="0" xfId="1" applyNumberFormat="1" applyFont="1" applyFill="1" applyBorder="1" applyAlignment="1">
      <alignment horizontal="center" wrapText="1"/>
    </xf>
    <xf numFmtId="0" fontId="19" fillId="0" borderId="6" xfId="0" applyNumberFormat="1" applyFont="1" applyFill="1" applyBorder="1" applyAlignment="1" applyProtection="1">
      <alignment horizontal="center" vertical="top" wrapText="1"/>
    </xf>
    <xf numFmtId="0" fontId="19" fillId="0" borderId="7" xfId="0" applyNumberFormat="1" applyFont="1" applyFill="1" applyBorder="1" applyAlignment="1" applyProtection="1">
      <alignment horizontal="center" vertical="top" wrapText="1"/>
    </xf>
    <xf numFmtId="0" fontId="19" fillId="0" borderId="8" xfId="0" applyNumberFormat="1" applyFont="1" applyFill="1" applyBorder="1" applyAlignment="1" applyProtection="1">
      <alignment horizontal="center" vertical="top" wrapText="1"/>
    </xf>
    <xf numFmtId="0" fontId="21" fillId="0" borderId="0" xfId="0" applyFont="1" applyFill="1" applyAlignment="1">
      <alignment horizontal="center"/>
    </xf>
    <xf numFmtId="0" fontId="21" fillId="0" borderId="0" xfId="0" applyFont="1" applyFill="1" applyBorder="1" applyAlignment="1">
      <alignment horizontal="center" vertical="center" wrapText="1"/>
    </xf>
    <xf numFmtId="2" fontId="20" fillId="0" borderId="2" xfId="2" applyNumberFormat="1" applyFont="1" applyFill="1" applyBorder="1" applyAlignment="1" applyProtection="1">
      <alignment horizontal="center" vertical="top" wrapText="1"/>
      <protection hidden="1"/>
    </xf>
    <xf numFmtId="0" fontId="19" fillId="0" borderId="2" xfId="0" applyNumberFormat="1" applyFont="1" applyFill="1" applyBorder="1" applyAlignment="1" applyProtection="1">
      <alignment horizontal="center" vertical="top" wrapText="1"/>
    </xf>
    <xf numFmtId="0" fontId="21" fillId="0" borderId="0" xfId="2" applyNumberFormat="1" applyFont="1" applyFill="1" applyAlignment="1" applyProtection="1">
      <alignment horizontal="center" vertical="center" wrapText="1"/>
      <protection hidden="1"/>
    </xf>
    <xf numFmtId="0" fontId="21" fillId="0" borderId="0" xfId="4" applyFont="1" applyBorder="1" applyAlignment="1">
      <alignment horizontal="center" wrapText="1"/>
    </xf>
    <xf numFmtId="0" fontId="28" fillId="0" borderId="0" xfId="4" applyFont="1" applyAlignment="1">
      <alignment horizontal="center" wrapText="1"/>
    </xf>
    <xf numFmtId="0" fontId="20" fillId="0" borderId="2" xfId="0" applyFont="1" applyFill="1" applyBorder="1" applyAlignment="1">
      <alignment horizontal="center" vertical="top" wrapText="1"/>
    </xf>
    <xf numFmtId="177" fontId="20" fillId="0" borderId="2" xfId="0" applyNumberFormat="1" applyFont="1" applyFill="1" applyBorder="1" applyAlignment="1">
      <alignment horizontal="center" vertical="top" wrapText="1"/>
    </xf>
    <xf numFmtId="0" fontId="21" fillId="0" borderId="0" xfId="0" applyFont="1" applyFill="1" applyBorder="1" applyAlignment="1" applyProtection="1">
      <alignment horizontal="center" vertical="center" wrapText="1"/>
      <protection locked="0"/>
    </xf>
  </cellXfs>
  <cellStyles count="11">
    <cellStyle name="Обычный" xfId="0" builtinId="0"/>
    <cellStyle name="Обычный 2" xfId="1"/>
    <cellStyle name="Обычный 2 2" xfId="2"/>
    <cellStyle name="Обычный 2 2 2" xfId="3"/>
    <cellStyle name="Обычный 3" xfId="4"/>
    <cellStyle name="Обычный 4" xfId="5"/>
    <cellStyle name="Обычный_Прил3" xfId="6"/>
    <cellStyle name="Обычный_Прил4" xfId="7"/>
    <cellStyle name="Свойства элементов измерения" xfId="8"/>
    <cellStyle name="Финансовый [0]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10</xdr:row>
      <xdr:rowOff>0</xdr:rowOff>
    </xdr:from>
    <xdr:to>
      <xdr:col>1</xdr:col>
      <xdr:colOff>2971800</xdr:colOff>
      <xdr:row>10</xdr:row>
      <xdr:rowOff>142875</xdr:rowOff>
    </xdr:to>
    <xdr:sp macro="" textlink="">
      <xdr:nvSpPr>
        <xdr:cNvPr id="35152" name="Text Box 1"/>
        <xdr:cNvSpPr txBox="1">
          <a:spLocks noChangeArrowheads="1"/>
        </xdr:cNvSpPr>
      </xdr:nvSpPr>
      <xdr:spPr bwMode="auto">
        <a:xfrm>
          <a:off x="3143250" y="48577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3152775</xdr:colOff>
      <xdr:row>12</xdr:row>
      <xdr:rowOff>1857375</xdr:rowOff>
    </xdr:from>
    <xdr:to>
      <xdr:col>1</xdr:col>
      <xdr:colOff>3228975</xdr:colOff>
      <xdr:row>12</xdr:row>
      <xdr:rowOff>2038350</xdr:rowOff>
    </xdr:to>
    <xdr:sp macro="" textlink="">
      <xdr:nvSpPr>
        <xdr:cNvPr id="35153" name="Text Box 1"/>
        <xdr:cNvSpPr txBox="1">
          <a:spLocks noChangeArrowheads="1"/>
        </xdr:cNvSpPr>
      </xdr:nvSpPr>
      <xdr:spPr bwMode="auto">
        <a:xfrm>
          <a:off x="3400425" y="7315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180975</xdr:rowOff>
    </xdr:to>
    <xdr:sp macro="" textlink="">
      <xdr:nvSpPr>
        <xdr:cNvPr id="35154" name="Text Box 1"/>
        <xdr:cNvSpPr txBox="1">
          <a:spLocks noChangeArrowheads="1"/>
        </xdr:cNvSpPr>
      </xdr:nvSpPr>
      <xdr:spPr bwMode="auto">
        <a:xfrm>
          <a:off x="3143250" y="5457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5155" name="Text Box 1"/>
        <xdr:cNvSpPr txBox="1">
          <a:spLocks noChangeArrowheads="1"/>
        </xdr:cNvSpPr>
      </xdr:nvSpPr>
      <xdr:spPr bwMode="auto">
        <a:xfrm>
          <a:off x="3143250" y="9058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35156" name="Text Box 1"/>
        <xdr:cNvSpPr txBox="1">
          <a:spLocks noChangeArrowheads="1"/>
        </xdr:cNvSpPr>
      </xdr:nvSpPr>
      <xdr:spPr bwMode="auto">
        <a:xfrm>
          <a:off x="3143250" y="945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57"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20</xdr:row>
      <xdr:rowOff>142875</xdr:rowOff>
    </xdr:to>
    <xdr:sp macro="" textlink="">
      <xdr:nvSpPr>
        <xdr:cNvPr id="35158" name="Text Box 1"/>
        <xdr:cNvSpPr txBox="1">
          <a:spLocks noChangeArrowheads="1"/>
        </xdr:cNvSpPr>
      </xdr:nvSpPr>
      <xdr:spPr bwMode="auto">
        <a:xfrm>
          <a:off x="3143250" y="112585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35159" name="Text Box 1"/>
        <xdr:cNvSpPr txBox="1">
          <a:spLocks noChangeArrowheads="1"/>
        </xdr:cNvSpPr>
      </xdr:nvSpPr>
      <xdr:spPr bwMode="auto">
        <a:xfrm>
          <a:off x="314325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142875</xdr:rowOff>
    </xdr:to>
    <xdr:sp macro="" textlink="">
      <xdr:nvSpPr>
        <xdr:cNvPr id="35160" name="Text Box 1"/>
        <xdr:cNvSpPr txBox="1">
          <a:spLocks noChangeArrowheads="1"/>
        </xdr:cNvSpPr>
      </xdr:nvSpPr>
      <xdr:spPr bwMode="auto">
        <a:xfrm>
          <a:off x="3143250" y="98583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10</xdr:row>
      <xdr:rowOff>0</xdr:rowOff>
    </xdr:from>
    <xdr:to>
      <xdr:col>1</xdr:col>
      <xdr:colOff>2971800</xdr:colOff>
      <xdr:row>10</xdr:row>
      <xdr:rowOff>142875</xdr:rowOff>
    </xdr:to>
    <xdr:sp macro="" textlink="">
      <xdr:nvSpPr>
        <xdr:cNvPr id="35161" name="Text Box 1"/>
        <xdr:cNvSpPr txBox="1">
          <a:spLocks noChangeArrowheads="1"/>
        </xdr:cNvSpPr>
      </xdr:nvSpPr>
      <xdr:spPr bwMode="auto">
        <a:xfrm>
          <a:off x="3143250" y="48577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11</xdr:row>
      <xdr:rowOff>0</xdr:rowOff>
    </xdr:from>
    <xdr:to>
      <xdr:col>1</xdr:col>
      <xdr:colOff>2971800</xdr:colOff>
      <xdr:row>11</xdr:row>
      <xdr:rowOff>200025</xdr:rowOff>
    </xdr:to>
    <xdr:sp macro="" textlink="">
      <xdr:nvSpPr>
        <xdr:cNvPr id="35162" name="Text Box 1"/>
        <xdr:cNvSpPr txBox="1">
          <a:spLocks noChangeArrowheads="1"/>
        </xdr:cNvSpPr>
      </xdr:nvSpPr>
      <xdr:spPr bwMode="auto">
        <a:xfrm>
          <a:off x="3143250" y="5057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180975</xdr:rowOff>
    </xdr:to>
    <xdr:sp macro="" textlink="">
      <xdr:nvSpPr>
        <xdr:cNvPr id="35163" name="Text Box 1"/>
        <xdr:cNvSpPr txBox="1">
          <a:spLocks noChangeArrowheads="1"/>
        </xdr:cNvSpPr>
      </xdr:nvSpPr>
      <xdr:spPr bwMode="auto">
        <a:xfrm>
          <a:off x="3143250" y="5457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5164" name="Text Box 1"/>
        <xdr:cNvSpPr txBox="1">
          <a:spLocks noChangeArrowheads="1"/>
        </xdr:cNvSpPr>
      </xdr:nvSpPr>
      <xdr:spPr bwMode="auto">
        <a:xfrm>
          <a:off x="3143250" y="9058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35165" name="Text Box 1"/>
        <xdr:cNvSpPr txBox="1">
          <a:spLocks noChangeArrowheads="1"/>
        </xdr:cNvSpPr>
      </xdr:nvSpPr>
      <xdr:spPr bwMode="auto">
        <a:xfrm>
          <a:off x="3143250" y="945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66"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67"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68"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142875</xdr:rowOff>
    </xdr:to>
    <xdr:sp macro="" textlink="">
      <xdr:nvSpPr>
        <xdr:cNvPr id="35169" name="Text Box 1"/>
        <xdr:cNvSpPr txBox="1">
          <a:spLocks noChangeArrowheads="1"/>
        </xdr:cNvSpPr>
      </xdr:nvSpPr>
      <xdr:spPr bwMode="auto">
        <a:xfrm>
          <a:off x="3143250" y="98583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10</xdr:row>
      <xdr:rowOff>0</xdr:rowOff>
    </xdr:from>
    <xdr:to>
      <xdr:col>1</xdr:col>
      <xdr:colOff>2971800</xdr:colOff>
      <xdr:row>10</xdr:row>
      <xdr:rowOff>142875</xdr:rowOff>
    </xdr:to>
    <xdr:sp macro="" textlink="">
      <xdr:nvSpPr>
        <xdr:cNvPr id="35170" name="Text Box 1"/>
        <xdr:cNvSpPr txBox="1">
          <a:spLocks noChangeArrowheads="1"/>
        </xdr:cNvSpPr>
      </xdr:nvSpPr>
      <xdr:spPr bwMode="auto">
        <a:xfrm>
          <a:off x="3143250" y="48577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11</xdr:row>
      <xdr:rowOff>0</xdr:rowOff>
    </xdr:from>
    <xdr:to>
      <xdr:col>1</xdr:col>
      <xdr:colOff>2971800</xdr:colOff>
      <xdr:row>11</xdr:row>
      <xdr:rowOff>200025</xdr:rowOff>
    </xdr:to>
    <xdr:sp macro="" textlink="">
      <xdr:nvSpPr>
        <xdr:cNvPr id="35171" name="Text Box 1"/>
        <xdr:cNvSpPr txBox="1">
          <a:spLocks noChangeArrowheads="1"/>
        </xdr:cNvSpPr>
      </xdr:nvSpPr>
      <xdr:spPr bwMode="auto">
        <a:xfrm>
          <a:off x="3143250" y="5057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180975</xdr:rowOff>
    </xdr:to>
    <xdr:sp macro="" textlink="">
      <xdr:nvSpPr>
        <xdr:cNvPr id="35172" name="Text Box 1"/>
        <xdr:cNvSpPr txBox="1">
          <a:spLocks noChangeArrowheads="1"/>
        </xdr:cNvSpPr>
      </xdr:nvSpPr>
      <xdr:spPr bwMode="auto">
        <a:xfrm>
          <a:off x="3143250" y="5457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5173" name="Text Box 1"/>
        <xdr:cNvSpPr txBox="1">
          <a:spLocks noChangeArrowheads="1"/>
        </xdr:cNvSpPr>
      </xdr:nvSpPr>
      <xdr:spPr bwMode="auto">
        <a:xfrm>
          <a:off x="3143250" y="9058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35174" name="Text Box 1"/>
        <xdr:cNvSpPr txBox="1">
          <a:spLocks noChangeArrowheads="1"/>
        </xdr:cNvSpPr>
      </xdr:nvSpPr>
      <xdr:spPr bwMode="auto">
        <a:xfrm>
          <a:off x="3143250" y="945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75"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76"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35177" name="Text Box 1"/>
        <xdr:cNvSpPr txBox="1">
          <a:spLocks noChangeArrowheads="1"/>
        </xdr:cNvSpPr>
      </xdr:nvSpPr>
      <xdr:spPr bwMode="auto">
        <a:xfrm>
          <a:off x="3143250" y="106584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142875</xdr:rowOff>
    </xdr:to>
    <xdr:sp macro="" textlink="">
      <xdr:nvSpPr>
        <xdr:cNvPr id="35178" name="Text Box 1"/>
        <xdr:cNvSpPr txBox="1">
          <a:spLocks noChangeArrowheads="1"/>
        </xdr:cNvSpPr>
      </xdr:nvSpPr>
      <xdr:spPr bwMode="auto">
        <a:xfrm>
          <a:off x="3143250" y="98583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35179" name="Text Box 1"/>
        <xdr:cNvSpPr txBox="1">
          <a:spLocks noChangeArrowheads="1"/>
        </xdr:cNvSpPr>
      </xdr:nvSpPr>
      <xdr:spPr bwMode="auto">
        <a:xfrm>
          <a:off x="314325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31</xdr:row>
      <xdr:rowOff>28575</xdr:rowOff>
    </xdr:to>
    <xdr:sp macro="" textlink="">
      <xdr:nvSpPr>
        <xdr:cNvPr id="35180" name="Text Box 1"/>
        <xdr:cNvSpPr txBox="1">
          <a:spLocks noChangeArrowheads="1"/>
        </xdr:cNvSpPr>
      </xdr:nvSpPr>
      <xdr:spPr bwMode="auto">
        <a:xfrm>
          <a:off x="3143250" y="14449425"/>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1"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2"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3"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4"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5"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6"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7"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171450</xdr:rowOff>
    </xdr:to>
    <xdr:sp macro="" textlink="">
      <xdr:nvSpPr>
        <xdr:cNvPr id="35188" name="Text Box 1"/>
        <xdr:cNvSpPr txBox="1">
          <a:spLocks noChangeArrowheads="1"/>
        </xdr:cNvSpPr>
      </xdr:nvSpPr>
      <xdr:spPr bwMode="auto">
        <a:xfrm>
          <a:off x="3143250" y="15049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115" zoomScaleNormal="100" zoomScaleSheetLayoutView="115" workbookViewId="0">
      <selection activeCell="D5" sqref="D5"/>
    </sheetView>
  </sheetViews>
  <sheetFormatPr defaultRowHeight="12.75"/>
  <cols>
    <col min="1" max="1" width="85" style="22" customWidth="1"/>
    <col min="2" max="2" width="14.140625" style="22" customWidth="1"/>
    <col min="3" max="3" width="25.42578125" style="28" customWidth="1"/>
    <col min="4" max="4" width="13" style="23" customWidth="1"/>
    <col min="5" max="16384" width="9.140625" style="22"/>
  </cols>
  <sheetData>
    <row r="1" spans="1:5" ht="15.75">
      <c r="A1" s="68"/>
      <c r="B1" s="68"/>
      <c r="C1" s="48"/>
      <c r="D1" s="101" t="s">
        <v>111</v>
      </c>
      <c r="E1" s="68"/>
    </row>
    <row r="2" spans="1:5" ht="15.75">
      <c r="A2" s="68"/>
      <c r="B2" s="68"/>
      <c r="C2" s="48"/>
      <c r="D2" s="101" t="s">
        <v>218</v>
      </c>
      <c r="E2" s="68"/>
    </row>
    <row r="3" spans="1:5" ht="13.5" customHeight="1">
      <c r="A3" s="68"/>
      <c r="B3" s="68"/>
      <c r="C3" s="48"/>
      <c r="D3" s="101" t="s">
        <v>432</v>
      </c>
      <c r="E3" s="68"/>
    </row>
    <row r="4" spans="1:5" ht="15.75" customHeight="1">
      <c r="A4" s="68"/>
      <c r="B4" s="68"/>
      <c r="C4" s="121"/>
      <c r="D4" s="101" t="s">
        <v>492</v>
      </c>
      <c r="E4" s="68"/>
    </row>
    <row r="5" spans="1:5" ht="15.75">
      <c r="A5" s="68"/>
      <c r="B5" s="68"/>
      <c r="C5" s="48"/>
      <c r="D5" s="101" t="s">
        <v>570</v>
      </c>
      <c r="E5" s="68"/>
    </row>
    <row r="6" spans="1:5" ht="15.75">
      <c r="A6" s="68"/>
      <c r="B6" s="68"/>
      <c r="C6" s="48"/>
      <c r="D6" s="122"/>
      <c r="E6" s="68"/>
    </row>
    <row r="7" spans="1:5">
      <c r="A7" s="68"/>
      <c r="B7" s="68"/>
      <c r="C7" s="48"/>
      <c r="D7" s="68"/>
      <c r="E7" s="68"/>
    </row>
    <row r="8" spans="1:5" ht="18" customHeight="1">
      <c r="A8" s="243" t="s">
        <v>240</v>
      </c>
      <c r="B8" s="243"/>
      <c r="C8" s="243"/>
      <c r="D8" s="243"/>
    </row>
    <row r="9" spans="1:5" ht="39" customHeight="1">
      <c r="A9" s="244" t="s">
        <v>433</v>
      </c>
      <c r="B9" s="244"/>
      <c r="C9" s="244"/>
      <c r="D9" s="244"/>
    </row>
    <row r="10" spans="1:5" ht="20.25" customHeight="1">
      <c r="A10" s="245" t="s">
        <v>493</v>
      </c>
      <c r="B10" s="245"/>
      <c r="C10" s="245"/>
      <c r="D10" s="245"/>
    </row>
    <row r="11" spans="1:5">
      <c r="A11" s="47"/>
      <c r="B11" s="47"/>
      <c r="C11" s="48"/>
      <c r="D11" s="49" t="s">
        <v>130</v>
      </c>
    </row>
    <row r="12" spans="1:5" s="24" customFormat="1" ht="15.75">
      <c r="A12" s="246" t="s">
        <v>221</v>
      </c>
      <c r="B12" s="246" t="s">
        <v>222</v>
      </c>
      <c r="C12" s="246"/>
      <c r="D12" s="246" t="s">
        <v>223</v>
      </c>
    </row>
    <row r="13" spans="1:5" ht="48.75" customHeight="1">
      <c r="A13" s="246"/>
      <c r="B13" s="50" t="s">
        <v>239</v>
      </c>
      <c r="C13" s="51" t="s">
        <v>224</v>
      </c>
      <c r="D13" s="246"/>
    </row>
    <row r="14" spans="1:5" s="42" customFormat="1" ht="15.75">
      <c r="A14" s="52" t="s">
        <v>237</v>
      </c>
      <c r="B14" s="52"/>
      <c r="C14" s="53"/>
      <c r="D14" s="54">
        <f>D15+D23+D25+D27</f>
        <v>138512.5</v>
      </c>
    </row>
    <row r="15" spans="1:5" s="42" customFormat="1" ht="15.75">
      <c r="A15" s="55" t="s">
        <v>228</v>
      </c>
      <c r="B15" s="56">
        <v>182</v>
      </c>
      <c r="C15" s="53"/>
      <c r="D15" s="54">
        <f>SUM(D16:D22)</f>
        <v>116811.7</v>
      </c>
    </row>
    <row r="16" spans="1:5" s="42" customFormat="1" ht="63">
      <c r="A16" s="57" t="s">
        <v>396</v>
      </c>
      <c r="B16" s="58">
        <v>182</v>
      </c>
      <c r="C16" s="59" t="s">
        <v>225</v>
      </c>
      <c r="D16" s="60">
        <f>'Приложение 2'!E14</f>
        <v>50608.4</v>
      </c>
    </row>
    <row r="17" spans="1:4" s="42" customFormat="1" ht="94.5">
      <c r="A17" s="57" t="s">
        <v>397</v>
      </c>
      <c r="B17" s="61">
        <v>182</v>
      </c>
      <c r="C17" s="59" t="s">
        <v>226</v>
      </c>
      <c r="D17" s="60">
        <f>'Приложение 2'!E15</f>
        <v>111.2</v>
      </c>
    </row>
    <row r="18" spans="1:4" s="42" customFormat="1" ht="31.5">
      <c r="A18" s="57" t="s">
        <v>398</v>
      </c>
      <c r="B18" s="61">
        <v>182</v>
      </c>
      <c r="C18" s="59" t="s">
        <v>227</v>
      </c>
      <c r="D18" s="60">
        <f>'Приложение 2'!E16</f>
        <v>131.1</v>
      </c>
    </row>
    <row r="19" spans="1:4" s="42" customFormat="1" ht="15.75">
      <c r="A19" s="57" t="s">
        <v>436</v>
      </c>
      <c r="B19" s="61">
        <v>182</v>
      </c>
      <c r="C19" s="59" t="s">
        <v>444</v>
      </c>
      <c r="D19" s="60">
        <f>'Приложение 2'!E19</f>
        <v>21.1</v>
      </c>
    </row>
    <row r="20" spans="1:4" s="42" customFormat="1" ht="31.5">
      <c r="A20" s="62" t="s">
        <v>174</v>
      </c>
      <c r="B20" s="61">
        <v>182</v>
      </c>
      <c r="C20" s="59" t="s">
        <v>229</v>
      </c>
      <c r="D20" s="60">
        <f>'Приложение 2'!E22</f>
        <v>2744.2</v>
      </c>
    </row>
    <row r="21" spans="1:4" s="42" customFormat="1" ht="31.5">
      <c r="A21" s="57" t="s">
        <v>399</v>
      </c>
      <c r="B21" s="58">
        <v>182</v>
      </c>
      <c r="C21" s="59" t="s">
        <v>230</v>
      </c>
      <c r="D21" s="60">
        <f>'Приложение 2'!E25</f>
        <v>60834.6</v>
      </c>
    </row>
    <row r="22" spans="1:4" s="42" customFormat="1" ht="31.5">
      <c r="A22" s="57" t="s">
        <v>400</v>
      </c>
      <c r="B22" s="58">
        <v>182</v>
      </c>
      <c r="C22" s="59" t="s">
        <v>231</v>
      </c>
      <c r="D22" s="60">
        <f>'Приложение 2'!E27</f>
        <v>2361.1</v>
      </c>
    </row>
    <row r="23" spans="1:4" s="42" customFormat="1" ht="15.75">
      <c r="A23" s="52" t="s">
        <v>358</v>
      </c>
      <c r="B23" s="56">
        <v>802</v>
      </c>
      <c r="C23" s="63"/>
      <c r="D23" s="54">
        <f>SUM(D24:D24)</f>
        <v>53.5</v>
      </c>
    </row>
    <row r="24" spans="1:4" s="42" customFormat="1" ht="47.25">
      <c r="A24" s="57" t="s">
        <v>513</v>
      </c>
      <c r="B24" s="58">
        <v>802</v>
      </c>
      <c r="C24" s="59" t="s">
        <v>517</v>
      </c>
      <c r="D24" s="60">
        <f>'Приложение 2'!E41</f>
        <v>53.5</v>
      </c>
    </row>
    <row r="25" spans="1:4" s="42" customFormat="1" ht="15.75">
      <c r="A25" s="52" t="s">
        <v>232</v>
      </c>
      <c r="B25" s="56">
        <v>851</v>
      </c>
      <c r="C25" s="63"/>
      <c r="D25" s="54">
        <f>SUM(D26:D26)</f>
        <v>511</v>
      </c>
    </row>
    <row r="26" spans="1:4" s="42" customFormat="1" ht="63">
      <c r="A26" s="57" t="s">
        <v>190</v>
      </c>
      <c r="B26" s="58">
        <v>851</v>
      </c>
      <c r="C26" s="59" t="s">
        <v>233</v>
      </c>
      <c r="D26" s="60">
        <v>511</v>
      </c>
    </row>
    <row r="27" spans="1:4" s="42" customFormat="1" ht="31.5">
      <c r="A27" s="52" t="s">
        <v>235</v>
      </c>
      <c r="B27" s="56">
        <v>871</v>
      </c>
      <c r="C27" s="63"/>
      <c r="D27" s="54">
        <f>SUM(D28:D40)</f>
        <v>21136.3</v>
      </c>
    </row>
    <row r="28" spans="1:4" s="42" customFormat="1" ht="63">
      <c r="A28" s="57" t="s">
        <v>190</v>
      </c>
      <c r="B28" s="58">
        <v>871</v>
      </c>
      <c r="C28" s="59" t="s">
        <v>233</v>
      </c>
      <c r="D28" s="60">
        <f>'Приложение 2'!E30-D26</f>
        <v>13324.3</v>
      </c>
    </row>
    <row r="29" spans="1:4" s="42" customFormat="1" ht="63">
      <c r="A29" s="57" t="s">
        <v>194</v>
      </c>
      <c r="B29" s="58">
        <v>871</v>
      </c>
      <c r="C29" s="59" t="s">
        <v>238</v>
      </c>
      <c r="D29" s="60">
        <f>'Приложение 2'!E32</f>
        <v>969.5</v>
      </c>
    </row>
    <row r="30" spans="1:4" s="42" customFormat="1" ht="31.5">
      <c r="A30" s="57" t="s">
        <v>199</v>
      </c>
      <c r="B30" s="58">
        <v>871</v>
      </c>
      <c r="C30" s="59" t="s">
        <v>234</v>
      </c>
      <c r="D30" s="60">
        <f>'Приложение 2'!E35</f>
        <v>714.9</v>
      </c>
    </row>
    <row r="31" spans="1:4" s="42" customFormat="1" ht="63">
      <c r="A31" s="57" t="s">
        <v>274</v>
      </c>
      <c r="B31" s="58">
        <v>871</v>
      </c>
      <c r="C31" s="64" t="s">
        <v>273</v>
      </c>
      <c r="D31" s="60">
        <f>'Приложение 2'!E38</f>
        <v>38.6</v>
      </c>
    </row>
    <row r="32" spans="1:4" s="42" customFormat="1" ht="63">
      <c r="A32" s="57" t="s">
        <v>509</v>
      </c>
      <c r="B32" s="58">
        <v>871</v>
      </c>
      <c r="C32" s="59" t="s">
        <v>518</v>
      </c>
      <c r="D32" s="60">
        <f>'Приложение 2'!E43</f>
        <v>101.2</v>
      </c>
    </row>
    <row r="33" spans="1:4" s="42" customFormat="1" ht="110.25">
      <c r="A33" s="57" t="s">
        <v>507</v>
      </c>
      <c r="B33" s="58">
        <v>871</v>
      </c>
      <c r="C33" s="59" t="s">
        <v>519</v>
      </c>
      <c r="D33" s="60">
        <f>'Приложение 2'!E45</f>
        <v>3.3</v>
      </c>
    </row>
    <row r="34" spans="1:4" s="42" customFormat="1" ht="15.75">
      <c r="A34" s="65" t="s">
        <v>205</v>
      </c>
      <c r="B34" s="58">
        <v>871</v>
      </c>
      <c r="C34" s="59" t="s">
        <v>236</v>
      </c>
      <c r="D34" s="60">
        <f>'Приложение 2'!E47</f>
        <v>1348.6</v>
      </c>
    </row>
    <row r="35" spans="1:4" s="42" customFormat="1" ht="15.75">
      <c r="A35" s="66" t="s">
        <v>359</v>
      </c>
      <c r="B35" s="67">
        <v>871</v>
      </c>
      <c r="C35" s="59" t="s">
        <v>461</v>
      </c>
      <c r="D35" s="60">
        <f>'Приложение 2'!E52</f>
        <v>60</v>
      </c>
    </row>
    <row r="36" spans="1:4" s="42" customFormat="1" ht="15.75">
      <c r="A36" s="66" t="s">
        <v>505</v>
      </c>
      <c r="B36" s="67">
        <v>871</v>
      </c>
      <c r="C36" s="59" t="s">
        <v>503</v>
      </c>
      <c r="D36" s="60">
        <f>'Приложение 2'!E54</f>
        <v>3300.4</v>
      </c>
    </row>
    <row r="37" spans="1:4" s="42" customFormat="1" ht="31.5">
      <c r="A37" s="66" t="s">
        <v>441</v>
      </c>
      <c r="B37" s="67">
        <v>871</v>
      </c>
      <c r="C37" s="59" t="s">
        <v>462</v>
      </c>
      <c r="D37" s="60">
        <f>'Приложение 2'!E61</f>
        <v>362.5</v>
      </c>
    </row>
    <row r="38" spans="1:4" s="43" customFormat="1" ht="31.5">
      <c r="A38" s="66" t="s">
        <v>212</v>
      </c>
      <c r="B38" s="67">
        <v>871</v>
      </c>
      <c r="C38" s="59" t="s">
        <v>460</v>
      </c>
      <c r="D38" s="60">
        <f>'Приложение 2'!E63</f>
        <v>481.6</v>
      </c>
    </row>
    <row r="39" spans="1:4" s="43" customFormat="1" ht="31.5">
      <c r="A39" s="66" t="s">
        <v>214</v>
      </c>
      <c r="B39" s="67">
        <v>871</v>
      </c>
      <c r="C39" s="59" t="s">
        <v>459</v>
      </c>
      <c r="D39" s="60">
        <f>'Приложение 2'!E64</f>
        <v>185.4</v>
      </c>
    </row>
    <row r="40" spans="1:4" s="42" customFormat="1" ht="31.5">
      <c r="A40" s="66" t="s">
        <v>217</v>
      </c>
      <c r="B40" s="58">
        <v>871</v>
      </c>
      <c r="C40" s="59" t="s">
        <v>458</v>
      </c>
      <c r="D40" s="60">
        <f>'Приложение 2'!E70</f>
        <v>246</v>
      </c>
    </row>
  </sheetData>
  <mergeCells count="6">
    <mergeCell ref="A8:D8"/>
    <mergeCell ref="A9:D9"/>
    <mergeCell ref="A10:D10"/>
    <mergeCell ref="A12:A13"/>
    <mergeCell ref="B12:C12"/>
    <mergeCell ref="D12:D13"/>
  </mergeCells>
  <pageMargins left="0.78740157480314965" right="0.19685039370078741" top="0.39370078740157483" bottom="0.39370078740157483" header="0.51181102362204722" footer="0.51181102362204722"/>
  <pageSetup paperSize="9"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A13" sqref="A13"/>
    </sheetView>
  </sheetViews>
  <sheetFormatPr defaultRowHeight="15"/>
  <cols>
    <col min="1" max="1" width="96" style="8" customWidth="1"/>
    <col min="2" max="2" width="18.85546875" style="8" customWidth="1"/>
    <col min="3" max="3" width="25.42578125" style="8" customWidth="1"/>
    <col min="4" max="4" width="12.28515625" style="8" customWidth="1"/>
    <col min="5" max="16384" width="9.140625" style="8"/>
  </cols>
  <sheetData>
    <row r="1" spans="1:4" ht="15.75">
      <c r="A1" s="126"/>
      <c r="B1" s="126"/>
      <c r="C1" s="126"/>
      <c r="D1" s="101" t="s">
        <v>272</v>
      </c>
    </row>
    <row r="2" spans="1:4" ht="15.75">
      <c r="A2" s="126"/>
      <c r="B2" s="126"/>
      <c r="C2" s="126"/>
      <c r="D2" s="101" t="s">
        <v>218</v>
      </c>
    </row>
    <row r="3" spans="1:4" ht="15.75">
      <c r="A3" s="126"/>
      <c r="B3" s="126"/>
      <c r="C3" s="126"/>
      <c r="D3" s="101" t="s">
        <v>432</v>
      </c>
    </row>
    <row r="4" spans="1:4" ht="15.75">
      <c r="A4" s="126"/>
      <c r="B4" s="126"/>
      <c r="C4" s="126"/>
      <c r="D4" s="101" t="s">
        <v>492</v>
      </c>
    </row>
    <row r="5" spans="1:4" ht="15.75">
      <c r="A5" s="224"/>
      <c r="B5" s="224"/>
      <c r="C5" s="224"/>
      <c r="D5" s="101" t="str">
        <f>'Приложение 1'!D5</f>
        <v>от "09" июня 2021 года №38-153</v>
      </c>
    </row>
    <row r="6" spans="1:4">
      <c r="A6" s="224"/>
      <c r="B6" s="224"/>
      <c r="C6" s="224"/>
      <c r="D6" s="100"/>
    </row>
    <row r="7" spans="1:4">
      <c r="A7" s="224"/>
      <c r="B7" s="224"/>
      <c r="C7" s="224"/>
      <c r="D7" s="100"/>
    </row>
    <row r="8" spans="1:4" ht="78.75" customHeight="1">
      <c r="A8" s="266" t="s">
        <v>567</v>
      </c>
      <c r="B8" s="266"/>
      <c r="C8" s="266"/>
      <c r="D8" s="266"/>
    </row>
    <row r="9" spans="1:4">
      <c r="A9" s="126"/>
      <c r="B9" s="126"/>
      <c r="C9" s="126"/>
      <c r="D9" s="126"/>
    </row>
    <row r="10" spans="1:4" ht="15.75">
      <c r="A10" s="127"/>
      <c r="B10" s="127"/>
      <c r="C10" s="127"/>
      <c r="D10" s="89" t="s">
        <v>130</v>
      </c>
    </row>
    <row r="11" spans="1:4" ht="15.75">
      <c r="A11" s="264" t="s">
        <v>257</v>
      </c>
      <c r="B11" s="264" t="s">
        <v>258</v>
      </c>
      <c r="C11" s="264"/>
      <c r="D11" s="265" t="s">
        <v>223</v>
      </c>
    </row>
    <row r="12" spans="1:4" ht="51.75" customHeight="1">
      <c r="A12" s="264"/>
      <c r="B12" s="225" t="s">
        <v>259</v>
      </c>
      <c r="C12" s="225" t="s">
        <v>260</v>
      </c>
      <c r="D12" s="265"/>
    </row>
    <row r="13" spans="1:4" ht="15.75">
      <c r="A13" s="226" t="s">
        <v>261</v>
      </c>
      <c r="B13" s="226"/>
      <c r="C13" s="226"/>
      <c r="D13" s="227">
        <f>D20</f>
        <v>-14006</v>
      </c>
    </row>
    <row r="14" spans="1:4" ht="15.75">
      <c r="A14" s="228" t="s">
        <v>137</v>
      </c>
      <c r="B14" s="228"/>
      <c r="C14" s="228"/>
      <c r="D14" s="229">
        <f>SUM(D15-D17)</f>
        <v>0</v>
      </c>
    </row>
    <row r="15" spans="1:4" ht="15.75">
      <c r="A15" s="230" t="s">
        <v>138</v>
      </c>
      <c r="B15" s="230"/>
      <c r="C15" s="230"/>
      <c r="D15" s="231">
        <f>SUM(D16)</f>
        <v>0</v>
      </c>
    </row>
    <row r="16" spans="1:4" ht="31.5">
      <c r="A16" s="230" t="s">
        <v>139</v>
      </c>
      <c r="B16" s="230"/>
      <c r="C16" s="230"/>
      <c r="D16" s="231">
        <v>0</v>
      </c>
    </row>
    <row r="17" spans="1:4" ht="31.5">
      <c r="A17" s="230" t="s">
        <v>140</v>
      </c>
      <c r="B17" s="230"/>
      <c r="C17" s="230"/>
      <c r="D17" s="231">
        <f>SUM(D18)</f>
        <v>0</v>
      </c>
    </row>
    <row r="18" spans="1:4" ht="31.5">
      <c r="A18" s="230" t="s">
        <v>141</v>
      </c>
      <c r="B18" s="230"/>
      <c r="C18" s="230"/>
      <c r="D18" s="231"/>
    </row>
    <row r="19" spans="1:4" ht="15.75">
      <c r="A19" s="232" t="s">
        <v>220</v>
      </c>
      <c r="B19" s="230"/>
      <c r="C19" s="230"/>
      <c r="D19" s="231"/>
    </row>
    <row r="20" spans="1:4" ht="15.75">
      <c r="A20" s="233" t="s">
        <v>28</v>
      </c>
      <c r="B20" s="234">
        <v>871</v>
      </c>
      <c r="C20" s="233"/>
      <c r="D20" s="235">
        <f>D21+D25</f>
        <v>-14006</v>
      </c>
    </row>
    <row r="21" spans="1:4" ht="15.75">
      <c r="A21" s="233" t="s">
        <v>144</v>
      </c>
      <c r="B21" s="234">
        <v>871</v>
      </c>
      <c r="C21" s="234" t="s">
        <v>269</v>
      </c>
      <c r="D21" s="235">
        <f>D22</f>
        <v>-138512.5</v>
      </c>
    </row>
    <row r="22" spans="1:4" ht="15.75">
      <c r="A22" s="233" t="s">
        <v>146</v>
      </c>
      <c r="B22" s="234">
        <v>871</v>
      </c>
      <c r="C22" s="234" t="s">
        <v>268</v>
      </c>
      <c r="D22" s="235">
        <f>D23</f>
        <v>-138512.5</v>
      </c>
    </row>
    <row r="23" spans="1:4" ht="15.75">
      <c r="A23" s="233" t="s">
        <v>148</v>
      </c>
      <c r="B23" s="234">
        <v>871</v>
      </c>
      <c r="C23" s="234" t="s">
        <v>267</v>
      </c>
      <c r="D23" s="235">
        <f>D24</f>
        <v>-138512.5</v>
      </c>
    </row>
    <row r="24" spans="1:4" ht="15.75">
      <c r="A24" s="233" t="s">
        <v>150</v>
      </c>
      <c r="B24" s="234">
        <v>871</v>
      </c>
      <c r="C24" s="234" t="s">
        <v>266</v>
      </c>
      <c r="D24" s="236">
        <f>-'Приложение 1'!D14</f>
        <v>-138512.5</v>
      </c>
    </row>
    <row r="25" spans="1:4" ht="15.75">
      <c r="A25" s="233" t="s">
        <v>152</v>
      </c>
      <c r="B25" s="234">
        <v>871</v>
      </c>
      <c r="C25" s="234" t="s">
        <v>265</v>
      </c>
      <c r="D25" s="235">
        <f>D26</f>
        <v>124506.5</v>
      </c>
    </row>
    <row r="26" spans="1:4" ht="15.75">
      <c r="A26" s="233" t="s">
        <v>154</v>
      </c>
      <c r="B26" s="234">
        <v>871</v>
      </c>
      <c r="C26" s="234" t="s">
        <v>264</v>
      </c>
      <c r="D26" s="235">
        <f>D27</f>
        <v>124506.5</v>
      </c>
    </row>
    <row r="27" spans="1:4" ht="15.75">
      <c r="A27" s="233" t="s">
        <v>156</v>
      </c>
      <c r="B27" s="234">
        <v>871</v>
      </c>
      <c r="C27" s="234" t="s">
        <v>263</v>
      </c>
      <c r="D27" s="235">
        <f>D28</f>
        <v>124506.5</v>
      </c>
    </row>
    <row r="28" spans="1:4" ht="15.75">
      <c r="A28" s="233" t="s">
        <v>158</v>
      </c>
      <c r="B28" s="234">
        <v>871</v>
      </c>
      <c r="C28" s="234" t="s">
        <v>262</v>
      </c>
      <c r="D28" s="236">
        <f>'Приложение 6'!L324</f>
        <v>124506.5</v>
      </c>
    </row>
    <row r="29" spans="1:4">
      <c r="A29" s="126"/>
      <c r="B29" s="126"/>
      <c r="C29" s="126"/>
      <c r="D29" s="126"/>
    </row>
    <row r="30" spans="1:4">
      <c r="A30" s="126"/>
      <c r="B30" s="126"/>
      <c r="C30" s="126"/>
      <c r="D30" s="126"/>
    </row>
    <row r="31" spans="1:4">
      <c r="A31" s="126"/>
      <c r="B31" s="126"/>
      <c r="C31" s="126"/>
      <c r="D31" s="126"/>
    </row>
    <row r="32" spans="1:4">
      <c r="A32" s="126"/>
      <c r="B32" s="126"/>
      <c r="C32" s="126"/>
      <c r="D32" s="126"/>
    </row>
    <row r="33" spans="1:4">
      <c r="A33" s="126"/>
      <c r="B33" s="126"/>
      <c r="C33" s="126"/>
      <c r="D33" s="126"/>
    </row>
    <row r="34" spans="1:4">
      <c r="A34" s="126"/>
      <c r="B34" s="126"/>
      <c r="C34" s="126"/>
      <c r="D34" s="126"/>
    </row>
    <row r="35" spans="1:4">
      <c r="A35" s="126"/>
      <c r="B35" s="126"/>
      <c r="C35" s="126"/>
      <c r="D35" s="126"/>
    </row>
    <row r="36" spans="1:4">
      <c r="A36" s="126"/>
      <c r="B36" s="126"/>
      <c r="C36" s="126"/>
      <c r="D36" s="126"/>
    </row>
  </sheetData>
  <mergeCells count="4">
    <mergeCell ref="A11:A12"/>
    <mergeCell ref="B11:C11"/>
    <mergeCell ref="D11:D12"/>
    <mergeCell ref="A8:D8"/>
  </mergeCells>
  <pageMargins left="0.74803149606299213" right="0.27559055118110237" top="0.55118110236220474" bottom="0.39370078740157483" header="0.15748031496062992" footer="0.27559055118110237"/>
  <pageSetup paperSize="9" scale="85"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B11" sqref="B11"/>
    </sheetView>
  </sheetViews>
  <sheetFormatPr defaultRowHeight="15"/>
  <cols>
    <col min="1" max="1" width="29.5703125" style="8" customWidth="1"/>
    <col min="2" max="2" width="82.5703125" style="8" customWidth="1"/>
    <col min="3" max="4" width="19.5703125" style="8" customWidth="1"/>
    <col min="5" max="5" width="15" style="8" customWidth="1"/>
    <col min="6" max="16384" width="9.140625" style="8"/>
  </cols>
  <sheetData>
    <row r="1" spans="1:5" ht="15.75">
      <c r="A1" s="126"/>
      <c r="B1" s="126"/>
      <c r="C1" s="126"/>
      <c r="D1" s="126"/>
      <c r="E1" s="101" t="s">
        <v>428</v>
      </c>
    </row>
    <row r="2" spans="1:5" ht="15.75">
      <c r="A2" s="126"/>
      <c r="B2" s="126"/>
      <c r="C2" s="126"/>
      <c r="D2" s="126"/>
      <c r="E2" s="101" t="s">
        <v>218</v>
      </c>
    </row>
    <row r="3" spans="1:5" ht="15.75">
      <c r="A3" s="126"/>
      <c r="B3" s="126"/>
      <c r="C3" s="126"/>
      <c r="D3" s="126"/>
      <c r="E3" s="101" t="s">
        <v>432</v>
      </c>
    </row>
    <row r="4" spans="1:5" ht="15.75">
      <c r="A4" s="126"/>
      <c r="B4" s="126"/>
      <c r="C4" s="126"/>
      <c r="D4" s="126"/>
      <c r="E4" s="101" t="s">
        <v>492</v>
      </c>
    </row>
    <row r="5" spans="1:5" ht="15.75">
      <c r="A5" s="126"/>
      <c r="B5" s="224"/>
      <c r="C5" s="224"/>
      <c r="D5" s="224"/>
      <c r="E5" s="101" t="str">
        <f>'Приложение 1'!D5</f>
        <v>от "09" июня 2021 года №38-153</v>
      </c>
    </row>
    <row r="6" spans="1:5">
      <c r="A6" s="126"/>
      <c r="B6" s="224"/>
      <c r="C6" s="224"/>
      <c r="D6" s="224"/>
      <c r="E6" s="100"/>
    </row>
    <row r="7" spans="1:5">
      <c r="A7" s="126"/>
      <c r="B7" s="224"/>
      <c r="C7" s="224"/>
      <c r="D7" s="224"/>
      <c r="E7" s="100"/>
    </row>
    <row r="8" spans="1:5" ht="93" customHeight="1">
      <c r="A8" s="266" t="s">
        <v>568</v>
      </c>
      <c r="B8" s="266"/>
      <c r="C8" s="266"/>
      <c r="D8" s="266"/>
      <c r="E8" s="266"/>
    </row>
    <row r="9" spans="1:5">
      <c r="A9" s="126"/>
      <c r="B9" s="126"/>
      <c r="C9" s="126"/>
      <c r="D9" s="126"/>
      <c r="E9" s="126"/>
    </row>
    <row r="10" spans="1:5" ht="15.75">
      <c r="A10" s="126"/>
      <c r="B10" s="127"/>
      <c r="C10" s="127"/>
      <c r="D10" s="127"/>
      <c r="E10" s="89" t="s">
        <v>130</v>
      </c>
    </row>
    <row r="11" spans="1:5" ht="196.5" customHeight="1">
      <c r="A11" s="225" t="s">
        <v>258</v>
      </c>
      <c r="B11" s="225" t="s">
        <v>221</v>
      </c>
      <c r="C11" s="92" t="s">
        <v>521</v>
      </c>
      <c r="D11" s="92" t="s">
        <v>495</v>
      </c>
      <c r="E11" s="92" t="s">
        <v>223</v>
      </c>
    </row>
    <row r="12" spans="1:5" ht="31.5">
      <c r="A12" s="237" t="s">
        <v>135</v>
      </c>
      <c r="B12" s="238" t="s">
        <v>136</v>
      </c>
      <c r="C12" s="239">
        <f>C14</f>
        <v>33347.700000000041</v>
      </c>
      <c r="D12" s="239">
        <f>D14</f>
        <v>33347.700000000012</v>
      </c>
      <c r="E12" s="239">
        <f>E14</f>
        <v>-14005.999999999971</v>
      </c>
    </row>
    <row r="13" spans="1:5" ht="15.75">
      <c r="A13" s="240"/>
      <c r="B13" s="232" t="s">
        <v>220</v>
      </c>
      <c r="C13" s="230"/>
      <c r="D13" s="230"/>
      <c r="E13" s="231"/>
    </row>
    <row r="14" spans="1:5" ht="15.75">
      <c r="A14" s="237" t="s">
        <v>142</v>
      </c>
      <c r="B14" s="241" t="s">
        <v>270</v>
      </c>
      <c r="C14" s="229">
        <f>C15+C19</f>
        <v>33347.700000000041</v>
      </c>
      <c r="D14" s="229">
        <f>D15+D19</f>
        <v>33347.700000000012</v>
      </c>
      <c r="E14" s="229">
        <f>E15+E19</f>
        <v>-14005.999999999971</v>
      </c>
    </row>
    <row r="15" spans="1:5" ht="15.75">
      <c r="A15" s="234" t="s">
        <v>143</v>
      </c>
      <c r="B15" s="242" t="s">
        <v>144</v>
      </c>
      <c r="C15" s="235">
        <f t="shared" ref="C15:E17" si="0">C16</f>
        <v>-126432.09999999998</v>
      </c>
      <c r="D15" s="235">
        <f t="shared" si="0"/>
        <v>-126431.19999999998</v>
      </c>
      <c r="E15" s="235">
        <f t="shared" si="0"/>
        <v>-138512.49999999997</v>
      </c>
    </row>
    <row r="16" spans="1:5" ht="15.75">
      <c r="A16" s="234" t="s">
        <v>145</v>
      </c>
      <c r="B16" s="242" t="s">
        <v>146</v>
      </c>
      <c r="C16" s="235">
        <f t="shared" si="0"/>
        <v>-126432.09999999998</v>
      </c>
      <c r="D16" s="235">
        <f t="shared" si="0"/>
        <v>-126431.19999999998</v>
      </c>
      <c r="E16" s="235">
        <f t="shared" si="0"/>
        <v>-138512.49999999997</v>
      </c>
    </row>
    <row r="17" spans="1:5" ht="15.75">
      <c r="A17" s="234" t="s">
        <v>147</v>
      </c>
      <c r="B17" s="242" t="s">
        <v>148</v>
      </c>
      <c r="C17" s="235">
        <f t="shared" si="0"/>
        <v>-126432.09999999998</v>
      </c>
      <c r="D17" s="235">
        <f t="shared" si="0"/>
        <v>-126431.19999999998</v>
      </c>
      <c r="E17" s="235">
        <f t="shared" si="0"/>
        <v>-138512.49999999997</v>
      </c>
    </row>
    <row r="18" spans="1:5" ht="15.75">
      <c r="A18" s="234" t="s">
        <v>149</v>
      </c>
      <c r="B18" s="242" t="s">
        <v>150</v>
      </c>
      <c r="C18" s="236">
        <f>-'Приложение 2'!C10</f>
        <v>-126432.09999999998</v>
      </c>
      <c r="D18" s="236">
        <f>-'Приложение 2'!D10</f>
        <v>-126431.19999999998</v>
      </c>
      <c r="E18" s="236">
        <f>-'Приложение 2'!E10</f>
        <v>-138512.49999999997</v>
      </c>
    </row>
    <row r="19" spans="1:5" ht="15.75">
      <c r="A19" s="234" t="s">
        <v>151</v>
      </c>
      <c r="B19" s="242" t="s">
        <v>152</v>
      </c>
      <c r="C19" s="235">
        <f t="shared" ref="C19:E21" si="1">C20</f>
        <v>159779.80000000002</v>
      </c>
      <c r="D19" s="235">
        <f t="shared" si="1"/>
        <v>159778.9</v>
      </c>
      <c r="E19" s="235">
        <f t="shared" si="1"/>
        <v>124506.5</v>
      </c>
    </row>
    <row r="20" spans="1:5" ht="15.75">
      <c r="A20" s="234" t="s">
        <v>153</v>
      </c>
      <c r="B20" s="242" t="s">
        <v>154</v>
      </c>
      <c r="C20" s="235">
        <f t="shared" si="1"/>
        <v>159779.80000000002</v>
      </c>
      <c r="D20" s="235">
        <f t="shared" si="1"/>
        <v>159778.9</v>
      </c>
      <c r="E20" s="235">
        <f t="shared" si="1"/>
        <v>124506.5</v>
      </c>
    </row>
    <row r="21" spans="1:5" ht="15.75">
      <c r="A21" s="234" t="s">
        <v>155</v>
      </c>
      <c r="B21" s="242" t="s">
        <v>156</v>
      </c>
      <c r="C21" s="235">
        <f t="shared" si="1"/>
        <v>159779.80000000002</v>
      </c>
      <c r="D21" s="235">
        <f t="shared" si="1"/>
        <v>159778.9</v>
      </c>
      <c r="E21" s="235">
        <f t="shared" si="1"/>
        <v>124506.5</v>
      </c>
    </row>
    <row r="22" spans="1:5" ht="15.75">
      <c r="A22" s="234" t="s">
        <v>157</v>
      </c>
      <c r="B22" s="242" t="s">
        <v>158</v>
      </c>
      <c r="C22" s="236">
        <f>'Приложение 6'!J324</f>
        <v>159779.80000000002</v>
      </c>
      <c r="D22" s="236">
        <f>'Приложение 6'!K324</f>
        <v>159778.9</v>
      </c>
      <c r="E22" s="236">
        <f>'Приложение 6'!L324</f>
        <v>124506.5</v>
      </c>
    </row>
  </sheetData>
  <mergeCells count="1">
    <mergeCell ref="A8:E8"/>
  </mergeCells>
  <pageMargins left="0.74803149606299213" right="0.27559055118110237" top="0.55118110236220474" bottom="0.39370078740157483" header="0.15748031496062992" footer="0.27559055118110237"/>
  <pageSetup paperSize="9" scale="8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view="pageBreakPreview" zoomScaleNormal="100" zoomScaleSheetLayoutView="100" workbookViewId="0">
      <selection activeCell="B15" sqref="B15"/>
    </sheetView>
  </sheetViews>
  <sheetFormatPr defaultRowHeight="12.75"/>
  <cols>
    <col min="1" max="1" width="26.5703125" style="22" customWidth="1"/>
    <col min="2" max="2" width="60.85546875" style="22" customWidth="1"/>
    <col min="3" max="4" width="13.85546875" style="23" customWidth="1"/>
    <col min="5" max="5" width="14.140625" style="23" customWidth="1"/>
    <col min="6" max="16384" width="9.140625" style="22"/>
  </cols>
  <sheetData>
    <row r="1" spans="1:5" ht="15.75">
      <c r="A1" s="68"/>
      <c r="B1" s="68"/>
      <c r="C1" s="68"/>
      <c r="D1" s="68"/>
      <c r="E1" s="101" t="s">
        <v>112</v>
      </c>
    </row>
    <row r="2" spans="1:5" ht="15.75">
      <c r="A2" s="68"/>
      <c r="B2" s="68"/>
      <c r="C2" s="68"/>
      <c r="D2" s="68"/>
      <c r="E2" s="101" t="s">
        <v>218</v>
      </c>
    </row>
    <row r="3" spans="1:5" ht="13.5" customHeight="1">
      <c r="A3" s="68"/>
      <c r="B3" s="68"/>
      <c r="C3" s="68"/>
      <c r="D3" s="68"/>
      <c r="E3" s="101" t="s">
        <v>432</v>
      </c>
    </row>
    <row r="4" spans="1:5" ht="15.75" customHeight="1">
      <c r="A4" s="68"/>
      <c r="B4" s="68"/>
      <c r="C4" s="123"/>
      <c r="D4" s="123"/>
      <c r="E4" s="101" t="s">
        <v>492</v>
      </c>
    </row>
    <row r="5" spans="1:5" ht="14.25" customHeight="1">
      <c r="A5" s="68"/>
      <c r="B5" s="68"/>
      <c r="C5" s="123"/>
      <c r="D5" s="123"/>
      <c r="E5" s="101" t="str">
        <f>'Приложение 1'!D5</f>
        <v>от "09" июня 2021 года №38-153</v>
      </c>
    </row>
    <row r="6" spans="1:5">
      <c r="A6" s="68"/>
      <c r="B6" s="68"/>
      <c r="C6" s="68"/>
      <c r="D6" s="68"/>
      <c r="E6" s="68"/>
    </row>
    <row r="7" spans="1:5" ht="86.25" customHeight="1">
      <c r="A7" s="243" t="s">
        <v>494</v>
      </c>
      <c r="B7" s="243"/>
      <c r="C7" s="243"/>
      <c r="D7" s="243"/>
      <c r="E7" s="243"/>
    </row>
    <row r="8" spans="1:5">
      <c r="A8" s="47"/>
      <c r="B8" s="47"/>
      <c r="C8" s="68"/>
      <c r="D8" s="68"/>
      <c r="E8" s="49" t="s">
        <v>130</v>
      </c>
    </row>
    <row r="9" spans="1:5" s="24" customFormat="1" ht="63">
      <c r="A9" s="69" t="s">
        <v>241</v>
      </c>
      <c r="B9" s="69"/>
      <c r="C9" s="69" t="s">
        <v>243</v>
      </c>
      <c r="D9" s="69" t="s">
        <v>495</v>
      </c>
      <c r="E9" s="69" t="s">
        <v>223</v>
      </c>
    </row>
    <row r="10" spans="1:5" s="24" customFormat="1" ht="15.75">
      <c r="A10" s="70"/>
      <c r="B10" s="71" t="s">
        <v>244</v>
      </c>
      <c r="C10" s="72">
        <f>C11+C48</f>
        <v>126432.09999999998</v>
      </c>
      <c r="D10" s="72">
        <f>D11+D48</f>
        <v>126431.19999999998</v>
      </c>
      <c r="E10" s="72">
        <f>E11+E48</f>
        <v>138512.49999999997</v>
      </c>
    </row>
    <row r="11" spans="1:5" ht="29.25">
      <c r="A11" s="73" t="s">
        <v>160</v>
      </c>
      <c r="B11" s="52" t="s">
        <v>161</v>
      </c>
      <c r="C11" s="54">
        <f>+C12+C17+C20+C28+C33+C39+C46</f>
        <v>119980.59999999998</v>
      </c>
      <c r="D11" s="54">
        <f>+D12+D17+D20+D28+D33+D39+D46</f>
        <v>119980.59999999998</v>
      </c>
      <c r="E11" s="54">
        <f>+E12+E17+E20+E28+E33+E39+E46</f>
        <v>133876.59999999998</v>
      </c>
    </row>
    <row r="12" spans="1:5" ht="29.25">
      <c r="A12" s="73" t="s">
        <v>162</v>
      </c>
      <c r="B12" s="52" t="s">
        <v>163</v>
      </c>
      <c r="C12" s="54">
        <f>C13</f>
        <v>42748.299999999996</v>
      </c>
      <c r="D12" s="54">
        <f>D13</f>
        <v>42748.299999999996</v>
      </c>
      <c r="E12" s="54">
        <f>E13</f>
        <v>50850.7</v>
      </c>
    </row>
    <row r="13" spans="1:5" ht="15.75">
      <c r="A13" s="74" t="s">
        <v>164</v>
      </c>
      <c r="B13" s="65" t="s">
        <v>165</v>
      </c>
      <c r="C13" s="60">
        <f>SUM(C14:C16)</f>
        <v>42748.299999999996</v>
      </c>
      <c r="D13" s="60">
        <f>SUM(D14:D16)</f>
        <v>42748.299999999996</v>
      </c>
      <c r="E13" s="60">
        <f>SUM(E14:E16)</f>
        <v>50850.7</v>
      </c>
    </row>
    <row r="14" spans="1:5" ht="78.75">
      <c r="A14" s="74" t="s">
        <v>166</v>
      </c>
      <c r="B14" s="57" t="s">
        <v>396</v>
      </c>
      <c r="C14" s="60">
        <v>42569.2</v>
      </c>
      <c r="D14" s="60">
        <f>C14</f>
        <v>42569.2</v>
      </c>
      <c r="E14" s="60">
        <v>50608.4</v>
      </c>
    </row>
    <row r="15" spans="1:5" ht="126">
      <c r="A15" s="74" t="s">
        <v>167</v>
      </c>
      <c r="B15" s="57" t="s">
        <v>397</v>
      </c>
      <c r="C15" s="60">
        <v>65</v>
      </c>
      <c r="D15" s="60">
        <f>C15</f>
        <v>65</v>
      </c>
      <c r="E15" s="60">
        <v>111.2</v>
      </c>
    </row>
    <row r="16" spans="1:5" ht="47.25">
      <c r="A16" s="74" t="s">
        <v>168</v>
      </c>
      <c r="B16" s="57" t="s">
        <v>398</v>
      </c>
      <c r="C16" s="60">
        <v>114.1</v>
      </c>
      <c r="D16" s="60">
        <f>C16</f>
        <v>114.1</v>
      </c>
      <c r="E16" s="60">
        <v>131.1</v>
      </c>
    </row>
    <row r="17" spans="1:5" ht="29.25">
      <c r="A17" s="73" t="s">
        <v>437</v>
      </c>
      <c r="B17" s="55" t="s">
        <v>435</v>
      </c>
      <c r="C17" s="54">
        <f t="shared" ref="C17:E18" si="0">C18</f>
        <v>4.7</v>
      </c>
      <c r="D17" s="54">
        <f t="shared" si="0"/>
        <v>4.7</v>
      </c>
      <c r="E17" s="54">
        <f t="shared" si="0"/>
        <v>21.1</v>
      </c>
    </row>
    <row r="18" spans="1:5" ht="15.75">
      <c r="A18" s="74" t="s">
        <v>438</v>
      </c>
      <c r="B18" s="57" t="s">
        <v>436</v>
      </c>
      <c r="C18" s="60">
        <f t="shared" si="0"/>
        <v>4.7</v>
      </c>
      <c r="D18" s="60">
        <f t="shared" si="0"/>
        <v>4.7</v>
      </c>
      <c r="E18" s="60">
        <f t="shared" si="0"/>
        <v>21.1</v>
      </c>
    </row>
    <row r="19" spans="1:5" ht="15.75">
      <c r="A19" s="74" t="s">
        <v>439</v>
      </c>
      <c r="B19" s="57" t="s">
        <v>436</v>
      </c>
      <c r="C19" s="60">
        <v>4.7</v>
      </c>
      <c r="D19" s="60">
        <v>4.7</v>
      </c>
      <c r="E19" s="60">
        <v>21.1</v>
      </c>
    </row>
    <row r="20" spans="1:5" ht="29.25">
      <c r="A20" s="73" t="s">
        <v>169</v>
      </c>
      <c r="B20" s="55" t="s">
        <v>170</v>
      </c>
      <c r="C20" s="54">
        <f>C21+C23</f>
        <v>59803.199999999997</v>
      </c>
      <c r="D20" s="54">
        <f>D21+D23</f>
        <v>59803.199999999997</v>
      </c>
      <c r="E20" s="54">
        <f>E21+E23</f>
        <v>65939.899999999994</v>
      </c>
    </row>
    <row r="21" spans="1:5" ht="29.25">
      <c r="A21" s="73" t="s">
        <v>171</v>
      </c>
      <c r="B21" s="55" t="s">
        <v>172</v>
      </c>
      <c r="C21" s="54">
        <f>C22</f>
        <v>2687.1</v>
      </c>
      <c r="D21" s="54">
        <f>D22</f>
        <v>2687.1</v>
      </c>
      <c r="E21" s="54">
        <f>E22</f>
        <v>2744.2</v>
      </c>
    </row>
    <row r="22" spans="1:5" ht="47.25">
      <c r="A22" s="74" t="s">
        <v>173</v>
      </c>
      <c r="B22" s="62" t="s">
        <v>174</v>
      </c>
      <c r="C22" s="60">
        <v>2687.1</v>
      </c>
      <c r="D22" s="60">
        <f>C22</f>
        <v>2687.1</v>
      </c>
      <c r="E22" s="60">
        <v>2744.2</v>
      </c>
    </row>
    <row r="23" spans="1:5" ht="29.25">
      <c r="A23" s="73" t="s">
        <v>175</v>
      </c>
      <c r="B23" s="55" t="s">
        <v>176</v>
      </c>
      <c r="C23" s="54">
        <f>C24+C26</f>
        <v>57116.1</v>
      </c>
      <c r="D23" s="54">
        <f>D24+D26</f>
        <v>57116.1</v>
      </c>
      <c r="E23" s="54">
        <f>E24+E26</f>
        <v>63195.7</v>
      </c>
    </row>
    <row r="24" spans="1:5" ht="15.75">
      <c r="A24" s="74" t="s">
        <v>177</v>
      </c>
      <c r="B24" s="57" t="s">
        <v>178</v>
      </c>
      <c r="C24" s="60">
        <f>C25</f>
        <v>54646</v>
      </c>
      <c r="D24" s="60">
        <f>D25</f>
        <v>54646</v>
      </c>
      <c r="E24" s="60">
        <f>E25</f>
        <v>60834.6</v>
      </c>
    </row>
    <row r="25" spans="1:5" ht="47.25">
      <c r="A25" s="74" t="s">
        <v>179</v>
      </c>
      <c r="B25" s="57" t="s">
        <v>180</v>
      </c>
      <c r="C25" s="60">
        <v>54646</v>
      </c>
      <c r="D25" s="60">
        <f>C25</f>
        <v>54646</v>
      </c>
      <c r="E25" s="60">
        <v>60834.6</v>
      </c>
    </row>
    <row r="26" spans="1:5" ht="15.75">
      <c r="A26" s="74" t="s">
        <v>181</v>
      </c>
      <c r="B26" s="57" t="s">
        <v>182</v>
      </c>
      <c r="C26" s="60">
        <f>C27</f>
        <v>2470.1</v>
      </c>
      <c r="D26" s="60">
        <f>D27</f>
        <v>2470.1</v>
      </c>
      <c r="E26" s="60">
        <f>E27</f>
        <v>2361.1</v>
      </c>
    </row>
    <row r="27" spans="1:5" ht="47.25">
      <c r="A27" s="74" t="s">
        <v>183</v>
      </c>
      <c r="B27" s="57" t="s">
        <v>184</v>
      </c>
      <c r="C27" s="60">
        <v>2470.1</v>
      </c>
      <c r="D27" s="60">
        <f>C27</f>
        <v>2470.1</v>
      </c>
      <c r="E27" s="60">
        <v>2361.1</v>
      </c>
    </row>
    <row r="28" spans="1:5" ht="47.25">
      <c r="A28" s="73" t="s">
        <v>185</v>
      </c>
      <c r="B28" s="55" t="s">
        <v>186</v>
      </c>
      <c r="C28" s="54">
        <f>C29+C31</f>
        <v>15693.5</v>
      </c>
      <c r="D28" s="54">
        <f>D29+D31</f>
        <v>15693.5</v>
      </c>
      <c r="E28" s="54">
        <f>E29+E31</f>
        <v>14804.8</v>
      </c>
    </row>
    <row r="29" spans="1:5" s="25" customFormat="1" ht="94.5">
      <c r="A29" s="74" t="s">
        <v>187</v>
      </c>
      <c r="B29" s="57" t="s">
        <v>188</v>
      </c>
      <c r="C29" s="60">
        <f>C30</f>
        <v>14857.8</v>
      </c>
      <c r="D29" s="60">
        <f>D30</f>
        <v>14857.8</v>
      </c>
      <c r="E29" s="60">
        <f>E30</f>
        <v>13835.3</v>
      </c>
    </row>
    <row r="30" spans="1:5" ht="94.5">
      <c r="A30" s="74" t="s">
        <v>189</v>
      </c>
      <c r="B30" s="57" t="s">
        <v>190</v>
      </c>
      <c r="C30" s="60">
        <v>14857.8</v>
      </c>
      <c r="D30" s="60">
        <f>C30</f>
        <v>14857.8</v>
      </c>
      <c r="E30" s="60">
        <v>13835.3</v>
      </c>
    </row>
    <row r="31" spans="1:5" ht="94.5">
      <c r="A31" s="74" t="s">
        <v>191</v>
      </c>
      <c r="B31" s="57" t="s">
        <v>192</v>
      </c>
      <c r="C31" s="60">
        <f>C32</f>
        <v>835.7</v>
      </c>
      <c r="D31" s="60">
        <f>D32</f>
        <v>835.7</v>
      </c>
      <c r="E31" s="60">
        <f>E32</f>
        <v>969.5</v>
      </c>
    </row>
    <row r="32" spans="1:5" ht="94.5">
      <c r="A32" s="74" t="s">
        <v>193</v>
      </c>
      <c r="B32" s="57" t="s">
        <v>194</v>
      </c>
      <c r="C32" s="60">
        <v>835.7</v>
      </c>
      <c r="D32" s="60">
        <f>C32</f>
        <v>835.7</v>
      </c>
      <c r="E32" s="60">
        <v>969.5</v>
      </c>
    </row>
    <row r="33" spans="1:5" ht="47.25">
      <c r="A33" s="73" t="s">
        <v>195</v>
      </c>
      <c r="B33" s="55" t="s">
        <v>516</v>
      </c>
      <c r="C33" s="54">
        <f>C34+C36</f>
        <v>745.80000000000007</v>
      </c>
      <c r="D33" s="54">
        <f>D34+D36</f>
        <v>745.80000000000007</v>
      </c>
      <c r="E33" s="54">
        <f>E34+E36</f>
        <v>753.5</v>
      </c>
    </row>
    <row r="34" spans="1:5" ht="31.5">
      <c r="A34" s="74" t="s">
        <v>196</v>
      </c>
      <c r="B34" s="57" t="s">
        <v>197</v>
      </c>
      <c r="C34" s="60">
        <f>C35</f>
        <v>709.2</v>
      </c>
      <c r="D34" s="60">
        <f>D35</f>
        <v>709.2</v>
      </c>
      <c r="E34" s="60">
        <f>E35</f>
        <v>714.9</v>
      </c>
    </row>
    <row r="35" spans="1:5" ht="47.25">
      <c r="A35" s="74" t="s">
        <v>198</v>
      </c>
      <c r="B35" s="57" t="s">
        <v>199</v>
      </c>
      <c r="C35" s="60">
        <v>709.2</v>
      </c>
      <c r="D35" s="60">
        <f>C35</f>
        <v>709.2</v>
      </c>
      <c r="E35" s="60">
        <v>714.9</v>
      </c>
    </row>
    <row r="36" spans="1:5" ht="78.75">
      <c r="A36" s="74" t="s">
        <v>279</v>
      </c>
      <c r="B36" s="57" t="s">
        <v>278</v>
      </c>
      <c r="C36" s="60">
        <f t="shared" ref="C36:E37" si="1">C37</f>
        <v>36.6</v>
      </c>
      <c r="D36" s="60">
        <f t="shared" si="1"/>
        <v>36.6</v>
      </c>
      <c r="E36" s="60">
        <f t="shared" si="1"/>
        <v>38.6</v>
      </c>
    </row>
    <row r="37" spans="1:5" ht="78.75">
      <c r="A37" s="74" t="s">
        <v>277</v>
      </c>
      <c r="B37" s="57" t="s">
        <v>276</v>
      </c>
      <c r="C37" s="60">
        <f t="shared" si="1"/>
        <v>36.6</v>
      </c>
      <c r="D37" s="60">
        <f t="shared" si="1"/>
        <v>36.6</v>
      </c>
      <c r="E37" s="60">
        <f t="shared" si="1"/>
        <v>38.6</v>
      </c>
    </row>
    <row r="38" spans="1:5" ht="94.5">
      <c r="A38" s="74" t="s">
        <v>275</v>
      </c>
      <c r="B38" s="57" t="s">
        <v>274</v>
      </c>
      <c r="C38" s="60">
        <v>36.6</v>
      </c>
      <c r="D38" s="60">
        <f>C38</f>
        <v>36.6</v>
      </c>
      <c r="E38" s="60">
        <v>38.6</v>
      </c>
    </row>
    <row r="39" spans="1:5" ht="29.25">
      <c r="A39" s="73" t="s">
        <v>200</v>
      </c>
      <c r="B39" s="55" t="s">
        <v>201</v>
      </c>
      <c r="C39" s="54">
        <f>C40+C42+C44</f>
        <v>80.900000000000006</v>
      </c>
      <c r="D39" s="54">
        <f>D40+D42+D44</f>
        <v>80.900000000000006</v>
      </c>
      <c r="E39" s="54">
        <f>E40+E42+E44</f>
        <v>158</v>
      </c>
    </row>
    <row r="40" spans="1:5" ht="47.25">
      <c r="A40" s="74" t="s">
        <v>515</v>
      </c>
      <c r="B40" s="57" t="s">
        <v>514</v>
      </c>
      <c r="C40" s="60">
        <f>C41</f>
        <v>0</v>
      </c>
      <c r="D40" s="60">
        <f>D41</f>
        <v>0</v>
      </c>
      <c r="E40" s="60">
        <f>E41</f>
        <v>53.5</v>
      </c>
    </row>
    <row r="41" spans="1:5" ht="63">
      <c r="A41" s="74" t="s">
        <v>512</v>
      </c>
      <c r="B41" s="57" t="s">
        <v>513</v>
      </c>
      <c r="C41" s="60">
        <v>0</v>
      </c>
      <c r="D41" s="60">
        <f>C41</f>
        <v>0</v>
      </c>
      <c r="E41" s="60">
        <v>53.5</v>
      </c>
    </row>
    <row r="42" spans="1:5" ht="126">
      <c r="A42" s="74" t="s">
        <v>510</v>
      </c>
      <c r="B42" s="57" t="s">
        <v>511</v>
      </c>
      <c r="C42" s="60">
        <f>C43</f>
        <v>16.7</v>
      </c>
      <c r="D42" s="60">
        <f>D43</f>
        <v>16.7</v>
      </c>
      <c r="E42" s="60">
        <f>E43</f>
        <v>101.2</v>
      </c>
    </row>
    <row r="43" spans="1:5" ht="78.75">
      <c r="A43" s="74" t="s">
        <v>508</v>
      </c>
      <c r="B43" s="57" t="s">
        <v>509</v>
      </c>
      <c r="C43" s="60">
        <v>16.7</v>
      </c>
      <c r="D43" s="60">
        <f>C43</f>
        <v>16.7</v>
      </c>
      <c r="E43" s="60">
        <v>101.2</v>
      </c>
    </row>
    <row r="44" spans="1:5" ht="31.5">
      <c r="A44" s="74" t="s">
        <v>402</v>
      </c>
      <c r="B44" s="57" t="s">
        <v>403</v>
      </c>
      <c r="C44" s="60">
        <f>C45</f>
        <v>64.2</v>
      </c>
      <c r="D44" s="60">
        <f>D45</f>
        <v>64.2</v>
      </c>
      <c r="E44" s="60">
        <f>E45</f>
        <v>3.3</v>
      </c>
    </row>
    <row r="45" spans="1:5" ht="157.5">
      <c r="A45" s="74" t="s">
        <v>506</v>
      </c>
      <c r="B45" s="57" t="s">
        <v>507</v>
      </c>
      <c r="C45" s="60">
        <v>64.2</v>
      </c>
      <c r="D45" s="60">
        <f>C45</f>
        <v>64.2</v>
      </c>
      <c r="E45" s="60">
        <v>3.3</v>
      </c>
    </row>
    <row r="46" spans="1:5" ht="29.25">
      <c r="A46" s="73" t="s">
        <v>202</v>
      </c>
      <c r="B46" s="55" t="s">
        <v>203</v>
      </c>
      <c r="C46" s="54">
        <f>C47</f>
        <v>904.2</v>
      </c>
      <c r="D46" s="54">
        <f>D47</f>
        <v>904.2</v>
      </c>
      <c r="E46" s="54">
        <f>E47</f>
        <v>1348.6</v>
      </c>
    </row>
    <row r="47" spans="1:5" ht="31.5">
      <c r="A47" s="74" t="s">
        <v>204</v>
      </c>
      <c r="B47" s="57" t="s">
        <v>205</v>
      </c>
      <c r="C47" s="60">
        <v>904.2</v>
      </c>
      <c r="D47" s="60">
        <f>C47</f>
        <v>904.2</v>
      </c>
      <c r="E47" s="60">
        <v>1348.6</v>
      </c>
    </row>
    <row r="48" spans="1:5" ht="29.25">
      <c r="A48" s="73" t="s">
        <v>206</v>
      </c>
      <c r="B48" s="55" t="s">
        <v>207</v>
      </c>
      <c r="C48" s="54">
        <f>C49+C68</f>
        <v>6451.5000000000009</v>
      </c>
      <c r="D48" s="54">
        <f>D49+D68</f>
        <v>6450.6</v>
      </c>
      <c r="E48" s="54">
        <f>E49+E68</f>
        <v>4635.8999999999996</v>
      </c>
    </row>
    <row r="49" spans="1:5" ht="47.25">
      <c r="A49" s="75" t="s">
        <v>208</v>
      </c>
      <c r="B49" s="76" t="s">
        <v>209</v>
      </c>
      <c r="C49" s="54">
        <f>C50+C53+C59+C64</f>
        <v>6205.4000000000005</v>
      </c>
      <c r="D49" s="54">
        <f>D50+D53+D59+D64</f>
        <v>6204.5</v>
      </c>
      <c r="E49" s="54">
        <f>E50+E53+E59+E64</f>
        <v>4389.8999999999996</v>
      </c>
    </row>
    <row r="50" spans="1:5" ht="31.5">
      <c r="A50" s="75" t="s">
        <v>445</v>
      </c>
      <c r="B50" s="76" t="s">
        <v>210</v>
      </c>
      <c r="C50" s="54">
        <f t="shared" ref="C50:E51" si="2">C51</f>
        <v>60</v>
      </c>
      <c r="D50" s="54">
        <f t="shared" si="2"/>
        <v>60</v>
      </c>
      <c r="E50" s="54">
        <f t="shared" si="2"/>
        <v>60</v>
      </c>
    </row>
    <row r="51" spans="1:5" ht="31.5">
      <c r="A51" s="77" t="s">
        <v>446</v>
      </c>
      <c r="B51" s="66" t="s">
        <v>360</v>
      </c>
      <c r="C51" s="60">
        <f t="shared" si="2"/>
        <v>60</v>
      </c>
      <c r="D51" s="60">
        <f t="shared" si="2"/>
        <v>60</v>
      </c>
      <c r="E51" s="60">
        <f t="shared" si="2"/>
        <v>60</v>
      </c>
    </row>
    <row r="52" spans="1:5" ht="15.75">
      <c r="A52" s="77" t="s">
        <v>447</v>
      </c>
      <c r="B52" s="66" t="s">
        <v>359</v>
      </c>
      <c r="C52" s="60">
        <v>60</v>
      </c>
      <c r="D52" s="60">
        <v>60</v>
      </c>
      <c r="E52" s="60">
        <v>60</v>
      </c>
    </row>
    <row r="53" spans="1:5" ht="31.5">
      <c r="A53" s="75" t="s">
        <v>501</v>
      </c>
      <c r="B53" s="76" t="s">
        <v>502</v>
      </c>
      <c r="C53" s="54">
        <f>C54</f>
        <v>5070</v>
      </c>
      <c r="D53" s="54">
        <f>D54</f>
        <v>5070</v>
      </c>
      <c r="E53" s="54">
        <f>E54</f>
        <v>3300.4</v>
      </c>
    </row>
    <row r="54" spans="1:5" ht="15.75">
      <c r="A54" s="78" t="s">
        <v>504</v>
      </c>
      <c r="B54" s="66" t="s">
        <v>505</v>
      </c>
      <c r="C54" s="60">
        <f>SUM(C55:C58)</f>
        <v>5070</v>
      </c>
      <c r="D54" s="60">
        <f>SUM(D55:D58)</f>
        <v>5070</v>
      </c>
      <c r="E54" s="60">
        <f>SUM(E55:E58)</f>
        <v>3300.4</v>
      </c>
    </row>
    <row r="55" spans="1:5" ht="31.5">
      <c r="A55" s="78"/>
      <c r="B55" s="66" t="s">
        <v>361</v>
      </c>
      <c r="C55" s="60">
        <v>538.79999999999995</v>
      </c>
      <c r="D55" s="60">
        <f>C55</f>
        <v>538.79999999999995</v>
      </c>
      <c r="E55" s="60">
        <v>456.3</v>
      </c>
    </row>
    <row r="56" spans="1:5" ht="31.5">
      <c r="A56" s="78"/>
      <c r="B56" s="66" t="s">
        <v>498</v>
      </c>
      <c r="C56" s="60">
        <v>4.5</v>
      </c>
      <c r="D56" s="60">
        <f>C56</f>
        <v>4.5</v>
      </c>
      <c r="E56" s="60">
        <v>4.5</v>
      </c>
    </row>
    <row r="57" spans="1:5" ht="31.5">
      <c r="A57" s="78"/>
      <c r="B57" s="66" t="s">
        <v>497</v>
      </c>
      <c r="C57" s="60">
        <v>1537.4</v>
      </c>
      <c r="D57" s="60">
        <f>C57</f>
        <v>1537.4</v>
      </c>
      <c r="E57" s="60">
        <v>1537.4</v>
      </c>
    </row>
    <row r="58" spans="1:5" ht="31.5">
      <c r="A58" s="78"/>
      <c r="B58" s="66" t="s">
        <v>496</v>
      </c>
      <c r="C58" s="60">
        <v>2989.3</v>
      </c>
      <c r="D58" s="60">
        <f>C58</f>
        <v>2989.3</v>
      </c>
      <c r="E58" s="60">
        <v>1302.2</v>
      </c>
    </row>
    <row r="59" spans="1:5" ht="31.5">
      <c r="A59" s="75" t="s">
        <v>448</v>
      </c>
      <c r="B59" s="76" t="s">
        <v>395</v>
      </c>
      <c r="C59" s="54">
        <f>C60+C62</f>
        <v>886.6</v>
      </c>
      <c r="D59" s="54">
        <f>D60+D62</f>
        <v>886.6</v>
      </c>
      <c r="E59" s="54">
        <f>E60+E62</f>
        <v>844.1</v>
      </c>
    </row>
    <row r="60" spans="1:5" ht="47.25">
      <c r="A60" s="78" t="s">
        <v>442</v>
      </c>
      <c r="B60" s="66" t="s">
        <v>440</v>
      </c>
      <c r="C60" s="60">
        <f>C61</f>
        <v>405</v>
      </c>
      <c r="D60" s="60">
        <f>D61</f>
        <v>405</v>
      </c>
      <c r="E60" s="60">
        <f>E61</f>
        <v>362.5</v>
      </c>
    </row>
    <row r="61" spans="1:5" ht="47.25">
      <c r="A61" s="78" t="s">
        <v>443</v>
      </c>
      <c r="B61" s="66" t="s">
        <v>441</v>
      </c>
      <c r="C61" s="60">
        <v>405</v>
      </c>
      <c r="D61" s="60">
        <f>C61</f>
        <v>405</v>
      </c>
      <c r="E61" s="60">
        <v>362.5</v>
      </c>
    </row>
    <row r="62" spans="1:5" ht="47.25">
      <c r="A62" s="78" t="s">
        <v>450</v>
      </c>
      <c r="B62" s="66" t="s">
        <v>211</v>
      </c>
      <c r="C62" s="60">
        <f>C63</f>
        <v>481.6</v>
      </c>
      <c r="D62" s="60">
        <f>D63</f>
        <v>481.6</v>
      </c>
      <c r="E62" s="60">
        <f>E63</f>
        <v>481.6</v>
      </c>
    </row>
    <row r="63" spans="1:5" s="25" customFormat="1" ht="47.25">
      <c r="A63" s="78" t="s">
        <v>449</v>
      </c>
      <c r="B63" s="66" t="s">
        <v>212</v>
      </c>
      <c r="C63" s="60">
        <v>481.6</v>
      </c>
      <c r="D63" s="60">
        <f>C63</f>
        <v>481.6</v>
      </c>
      <c r="E63" s="60">
        <v>481.6</v>
      </c>
    </row>
    <row r="64" spans="1:5" s="25" customFormat="1" ht="15.75">
      <c r="A64" s="75" t="s">
        <v>451</v>
      </c>
      <c r="B64" s="76" t="s">
        <v>213</v>
      </c>
      <c r="C64" s="54">
        <f>C65</f>
        <v>188.8</v>
      </c>
      <c r="D64" s="54">
        <f>D65</f>
        <v>187.9</v>
      </c>
      <c r="E64" s="54">
        <f>E65</f>
        <v>185.4</v>
      </c>
    </row>
    <row r="65" spans="1:5" ht="31.5">
      <c r="A65" s="75" t="s">
        <v>452</v>
      </c>
      <c r="B65" s="76" t="s">
        <v>500</v>
      </c>
      <c r="C65" s="54">
        <f>SUM(C66:C67)</f>
        <v>188.8</v>
      </c>
      <c r="D65" s="54">
        <f>SUM(D66:D67)</f>
        <v>187.9</v>
      </c>
      <c r="E65" s="54">
        <f>SUM(E66:E67)</f>
        <v>185.4</v>
      </c>
    </row>
    <row r="66" spans="1:5" ht="63">
      <c r="A66" s="78"/>
      <c r="B66" s="66" t="s">
        <v>499</v>
      </c>
      <c r="C66" s="60">
        <v>74.3</v>
      </c>
      <c r="D66" s="60">
        <v>73.400000000000006</v>
      </c>
      <c r="E66" s="60">
        <v>73.400000000000006</v>
      </c>
    </row>
    <row r="67" spans="1:5" ht="47.25">
      <c r="A67" s="78"/>
      <c r="B67" s="66" t="s">
        <v>569</v>
      </c>
      <c r="C67" s="60">
        <v>114.5</v>
      </c>
      <c r="D67" s="60">
        <f>C67</f>
        <v>114.5</v>
      </c>
      <c r="E67" s="60">
        <v>112</v>
      </c>
    </row>
    <row r="68" spans="1:5" ht="15.75">
      <c r="A68" s="75" t="s">
        <v>215</v>
      </c>
      <c r="B68" s="79" t="s">
        <v>216</v>
      </c>
      <c r="C68" s="54">
        <f t="shared" ref="C68:E69" si="3">C69</f>
        <v>246.1</v>
      </c>
      <c r="D68" s="54">
        <f t="shared" si="3"/>
        <v>246.1</v>
      </c>
      <c r="E68" s="54">
        <f t="shared" si="3"/>
        <v>246</v>
      </c>
    </row>
    <row r="69" spans="1:5" ht="31.5">
      <c r="A69" s="78" t="s">
        <v>453</v>
      </c>
      <c r="B69" s="80" t="s">
        <v>404</v>
      </c>
      <c r="C69" s="60">
        <f t="shared" si="3"/>
        <v>246.1</v>
      </c>
      <c r="D69" s="60">
        <f t="shared" si="3"/>
        <v>246.1</v>
      </c>
      <c r="E69" s="60">
        <f t="shared" si="3"/>
        <v>246</v>
      </c>
    </row>
    <row r="70" spans="1:5" ht="47.25">
      <c r="A70" s="78" t="s">
        <v>454</v>
      </c>
      <c r="B70" s="57" t="s">
        <v>217</v>
      </c>
      <c r="C70" s="60">
        <v>246.1</v>
      </c>
      <c r="D70" s="60">
        <v>246.1</v>
      </c>
      <c r="E70" s="60">
        <v>246</v>
      </c>
    </row>
    <row r="71" spans="1:5" ht="126" hidden="1">
      <c r="A71" s="81" t="s">
        <v>405</v>
      </c>
      <c r="B71" s="82" t="s">
        <v>406</v>
      </c>
      <c r="C71" s="83">
        <f t="shared" ref="C71:E73" si="4">C72</f>
        <v>0</v>
      </c>
      <c r="D71" s="83"/>
      <c r="E71" s="83">
        <f t="shared" si="4"/>
        <v>0</v>
      </c>
    </row>
    <row r="72" spans="1:5" ht="78.75" hidden="1">
      <c r="A72" s="84" t="s">
        <v>455</v>
      </c>
      <c r="B72" s="85" t="s">
        <v>407</v>
      </c>
      <c r="C72" s="86">
        <f t="shared" si="4"/>
        <v>0</v>
      </c>
      <c r="D72" s="86"/>
      <c r="E72" s="86">
        <f t="shared" si="4"/>
        <v>0</v>
      </c>
    </row>
    <row r="73" spans="1:5" ht="63" hidden="1">
      <c r="A73" s="84" t="s">
        <v>456</v>
      </c>
      <c r="B73" s="87" t="s">
        <v>408</v>
      </c>
      <c r="C73" s="86">
        <f t="shared" si="4"/>
        <v>0</v>
      </c>
      <c r="D73" s="86"/>
      <c r="E73" s="86">
        <f t="shared" si="4"/>
        <v>0</v>
      </c>
    </row>
    <row r="74" spans="1:5" ht="63" hidden="1">
      <c r="A74" s="84" t="s">
        <v>457</v>
      </c>
      <c r="B74" s="87" t="s">
        <v>401</v>
      </c>
      <c r="C74" s="86"/>
      <c r="D74" s="86"/>
      <c r="E74" s="86"/>
    </row>
  </sheetData>
  <mergeCells count="1">
    <mergeCell ref="A7:E7"/>
  </mergeCells>
  <pageMargins left="0.78740157480314965" right="0.19685039370078741" top="0.39370078740157483" bottom="0.39370078740157483" header="0.51181102362204722" footer="0.51181102362204722"/>
  <pageSetup paperSize="9"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Normal="100" zoomScaleSheetLayoutView="100" workbookViewId="0">
      <selection activeCell="B11" sqref="B11"/>
    </sheetView>
  </sheetViews>
  <sheetFormatPr defaultRowHeight="15.75"/>
  <cols>
    <col min="1" max="1" width="3.7109375" style="26" customWidth="1"/>
    <col min="2" max="2" width="109.85546875" style="26" customWidth="1"/>
    <col min="3" max="3" width="23.7109375" style="26" customWidth="1"/>
    <col min="4" max="4" width="20.140625" style="26" customWidth="1"/>
    <col min="5" max="5" width="12.5703125" style="26" customWidth="1"/>
    <col min="6" max="16384" width="9.140625" style="26"/>
  </cols>
  <sheetData>
    <row r="1" spans="1:5" s="3" customFormat="1">
      <c r="A1" s="99"/>
      <c r="B1" s="99"/>
      <c r="C1" s="100"/>
      <c r="D1" s="100"/>
      <c r="E1" s="101" t="s">
        <v>25</v>
      </c>
    </row>
    <row r="2" spans="1:5" s="3" customFormat="1">
      <c r="A2" s="99"/>
      <c r="B2" s="99"/>
      <c r="C2" s="100"/>
      <c r="D2" s="100"/>
      <c r="E2" s="101" t="s">
        <v>218</v>
      </c>
    </row>
    <row r="3" spans="1:5" s="3" customFormat="1">
      <c r="A3" s="99"/>
      <c r="B3" s="99"/>
      <c r="C3" s="100"/>
      <c r="D3" s="100"/>
      <c r="E3" s="101" t="s">
        <v>432</v>
      </c>
    </row>
    <row r="4" spans="1:5" s="3" customFormat="1">
      <c r="A4" s="99"/>
      <c r="B4" s="102"/>
      <c r="C4" s="100"/>
      <c r="D4" s="100"/>
      <c r="E4" s="101" t="s">
        <v>492</v>
      </c>
    </row>
    <row r="5" spans="1:5" s="3" customFormat="1">
      <c r="A5" s="99"/>
      <c r="B5" s="99"/>
      <c r="C5" s="100"/>
      <c r="D5" s="100"/>
      <c r="E5" s="101" t="str">
        <f>'Приложение 1'!D5</f>
        <v>от "09" июня 2021 года №38-153</v>
      </c>
    </row>
    <row r="6" spans="1:5">
      <c r="A6" s="103"/>
      <c r="B6" s="103"/>
      <c r="C6" s="89"/>
      <c r="D6" s="89"/>
      <c r="E6" s="103"/>
    </row>
    <row r="7" spans="1:5" ht="94.5" customHeight="1">
      <c r="A7" s="247" t="s">
        <v>520</v>
      </c>
      <c r="B7" s="247"/>
      <c r="C7" s="247"/>
      <c r="D7" s="247"/>
      <c r="E7" s="247"/>
    </row>
    <row r="8" spans="1:5" ht="20.25" customHeight="1">
      <c r="A8" s="88"/>
      <c r="B8" s="88"/>
      <c r="C8" s="88"/>
      <c r="D8" s="88"/>
      <c r="E8" s="89" t="s">
        <v>522</v>
      </c>
    </row>
    <row r="9" spans="1:5">
      <c r="A9" s="88"/>
      <c r="B9" s="88"/>
      <c r="C9" s="90"/>
      <c r="D9" s="90"/>
      <c r="E9" s="89" t="s">
        <v>130</v>
      </c>
    </row>
    <row r="10" spans="1:5" ht="157.5">
      <c r="A10" s="91"/>
      <c r="B10" s="91" t="s">
        <v>242</v>
      </c>
      <c r="C10" s="92" t="s">
        <v>521</v>
      </c>
      <c r="D10" s="92" t="s">
        <v>495</v>
      </c>
      <c r="E10" s="92" t="s">
        <v>223</v>
      </c>
    </row>
    <row r="11" spans="1:5" s="27" customFormat="1">
      <c r="A11" s="93">
        <v>1</v>
      </c>
      <c r="B11" s="94" t="s">
        <v>351</v>
      </c>
      <c r="C11" s="95">
        <f>'Приложение 6'!J41</f>
        <v>190.7</v>
      </c>
      <c r="D11" s="95">
        <f>'Приложение 6'!K41</f>
        <v>190.7</v>
      </c>
      <c r="E11" s="95">
        <f>'Приложение 6'!L41</f>
        <v>190.7</v>
      </c>
    </row>
    <row r="12" spans="1:5" s="27" customFormat="1" ht="31.5">
      <c r="A12" s="93">
        <v>2</v>
      </c>
      <c r="B12" s="94" t="s">
        <v>350</v>
      </c>
      <c r="C12" s="95">
        <f>'Приложение 6'!J36</f>
        <v>154.4</v>
      </c>
      <c r="D12" s="95">
        <f>'Приложение 6'!K36</f>
        <v>154.4</v>
      </c>
      <c r="E12" s="95">
        <f>'Приложение 6'!L36</f>
        <v>154.4</v>
      </c>
    </row>
    <row r="13" spans="1:5" s="27" customFormat="1" ht="283.5">
      <c r="A13" s="93">
        <v>3</v>
      </c>
      <c r="B13" s="94" t="s">
        <v>488</v>
      </c>
      <c r="C13" s="95">
        <f>'Приложение 6'!J30</f>
        <v>325.39999999999998</v>
      </c>
      <c r="D13" s="95">
        <f>'Приложение 6'!K30</f>
        <v>325.39999999999998</v>
      </c>
      <c r="E13" s="95">
        <f>'Приложение 6'!L30</f>
        <v>322.39999999999998</v>
      </c>
    </row>
    <row r="14" spans="1:5" s="27" customFormat="1" ht="31.5">
      <c r="A14" s="93">
        <v>4</v>
      </c>
      <c r="B14" s="94" t="s">
        <v>352</v>
      </c>
      <c r="C14" s="95">
        <f>'Приложение 5'!I129</f>
        <v>35</v>
      </c>
      <c r="D14" s="95">
        <f>'Приложение 5'!J129</f>
        <v>35</v>
      </c>
      <c r="E14" s="95">
        <f>'Приложение 5'!K129</f>
        <v>35</v>
      </c>
    </row>
    <row r="15" spans="1:5" s="27" customFormat="1" ht="31.5">
      <c r="A15" s="93">
        <v>5</v>
      </c>
      <c r="B15" s="94" t="s">
        <v>489</v>
      </c>
      <c r="C15" s="95">
        <f>'Приложение 5'!I40</f>
        <v>93.7</v>
      </c>
      <c r="D15" s="95">
        <f>'Приложение 5'!J40</f>
        <v>93.7</v>
      </c>
      <c r="E15" s="95">
        <f>'Приложение 5'!K40</f>
        <v>93.7</v>
      </c>
    </row>
    <row r="16" spans="1:5" s="27" customFormat="1">
      <c r="A16" s="93">
        <v>6</v>
      </c>
      <c r="B16" s="94" t="s">
        <v>490</v>
      </c>
      <c r="C16" s="95">
        <f>'Приложение 6'!J32</f>
        <v>124</v>
      </c>
      <c r="D16" s="95">
        <f>'Приложение 6'!K32</f>
        <v>124</v>
      </c>
      <c r="E16" s="95">
        <f>'Приложение 6'!L32</f>
        <v>124</v>
      </c>
    </row>
    <row r="17" spans="1:5" s="27" customFormat="1" ht="47.25">
      <c r="A17" s="93">
        <v>7</v>
      </c>
      <c r="B17" s="94" t="s">
        <v>420</v>
      </c>
      <c r="C17" s="95">
        <f>'Приложение 6'!J207</f>
        <v>1599</v>
      </c>
      <c r="D17" s="95">
        <f>'Приложение 6'!K207</f>
        <v>1599</v>
      </c>
      <c r="E17" s="95">
        <f>'Приложение 6'!L207</f>
        <v>1527.9</v>
      </c>
    </row>
    <row r="18" spans="1:5" s="27" customFormat="1">
      <c r="A18" s="96"/>
      <c r="B18" s="97" t="s">
        <v>491</v>
      </c>
      <c r="C18" s="98">
        <f>SUM(C11:C17)</f>
        <v>2522.1999999999998</v>
      </c>
      <c r="D18" s="98">
        <f>SUM(D11:D17)</f>
        <v>2522.1999999999998</v>
      </c>
      <c r="E18" s="98">
        <f>SUM(E11:E17)</f>
        <v>2448.1000000000004</v>
      </c>
    </row>
    <row r="19" spans="1:5" s="27" customFormat="1">
      <c r="A19" s="96"/>
      <c r="B19" s="97"/>
      <c r="C19" s="98"/>
      <c r="D19" s="98"/>
      <c r="E19" s="98"/>
    </row>
    <row r="20" spans="1:5" s="27" customFormat="1">
      <c r="A20" s="96"/>
      <c r="B20" s="97"/>
      <c r="C20" s="98"/>
      <c r="D20" s="98"/>
      <c r="E20" s="98"/>
    </row>
    <row r="21" spans="1:5">
      <c r="A21" s="90"/>
      <c r="B21" s="90"/>
      <c r="C21" s="90"/>
      <c r="D21" s="90"/>
      <c r="E21" s="104" t="s">
        <v>559</v>
      </c>
    </row>
    <row r="22" spans="1:5" ht="43.5" customHeight="1">
      <c r="A22" s="248" t="s">
        <v>524</v>
      </c>
      <c r="B22" s="248"/>
      <c r="C22" s="248"/>
      <c r="D22" s="248"/>
      <c r="E22" s="248"/>
    </row>
    <row r="23" spans="1:5" ht="18.75">
      <c r="A23" s="248"/>
      <c r="B23" s="248"/>
      <c r="C23" s="248"/>
      <c r="D23" s="103"/>
      <c r="E23" s="103"/>
    </row>
    <row r="24" spans="1:5">
      <c r="A24" s="105"/>
      <c r="B24" s="105"/>
      <c r="C24" s="103"/>
      <c r="D24" s="103"/>
      <c r="E24" s="106" t="s">
        <v>130</v>
      </c>
    </row>
    <row r="25" spans="1:5" ht="157.5">
      <c r="A25" s="107"/>
      <c r="B25" s="108" t="s">
        <v>523</v>
      </c>
      <c r="C25" s="109" t="s">
        <v>521</v>
      </c>
      <c r="D25" s="92" t="s">
        <v>495</v>
      </c>
      <c r="E25" s="109" t="s">
        <v>223</v>
      </c>
    </row>
    <row r="26" spans="1:5" ht="47.25">
      <c r="A26" s="93">
        <v>1</v>
      </c>
      <c r="B26" s="94" t="s">
        <v>525</v>
      </c>
      <c r="C26" s="95">
        <f>'Приложение 6'!J238</f>
        <v>2121</v>
      </c>
      <c r="D26" s="95">
        <f>'Приложение 6'!K238</f>
        <v>2121</v>
      </c>
      <c r="E26" s="95">
        <f>'Приложение 6'!L238</f>
        <v>2121</v>
      </c>
    </row>
    <row r="27" spans="1:5">
      <c r="A27" s="96"/>
      <c r="B27" s="97" t="s">
        <v>491</v>
      </c>
      <c r="C27" s="98">
        <f>SUM(C26:C26)</f>
        <v>2121</v>
      </c>
      <c r="D27" s="98">
        <f>SUM(D26:D26)</f>
        <v>2121</v>
      </c>
      <c r="E27" s="98">
        <f>SUM(E26:E26)</f>
        <v>2121</v>
      </c>
    </row>
  </sheetData>
  <mergeCells count="3">
    <mergeCell ref="A7:E7"/>
    <mergeCell ref="A23:C23"/>
    <mergeCell ref="A22:E22"/>
  </mergeCells>
  <pageMargins left="0.74803149606299213" right="0.47244094488188981" top="0.86614173228346458" bottom="0.98425196850393704" header="0.51181102362204722" footer="0.51181102362204722"/>
  <pageSetup paperSize="9" scale="80" fitToHeight="10" orientation="landscape" r:id="rId1"/>
  <headerFooter alignWithMargins="0"/>
  <rowBreaks count="1" manualBreakCount="1">
    <brk id="2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view="pageBreakPreview" zoomScaleNormal="100" zoomScaleSheetLayoutView="100" workbookViewId="0">
      <selection activeCell="A9" sqref="A9"/>
    </sheetView>
  </sheetViews>
  <sheetFormatPr defaultRowHeight="12.75"/>
  <cols>
    <col min="1" max="1" width="99" style="29" customWidth="1"/>
    <col min="2" max="2" width="4.28515625" style="29" customWidth="1"/>
    <col min="3" max="3" width="4.85546875" style="29" customWidth="1"/>
    <col min="4" max="5" width="21.85546875" style="29" customWidth="1"/>
    <col min="6" max="6" width="12.5703125" style="29" customWidth="1"/>
    <col min="7" max="218" width="9.140625" style="29" customWidth="1"/>
    <col min="219" max="16384" width="9.140625" style="29"/>
  </cols>
  <sheetData>
    <row r="1" spans="1:10" ht="15.75">
      <c r="A1" s="120"/>
      <c r="B1" s="120"/>
      <c r="C1" s="120"/>
      <c r="D1" s="120"/>
      <c r="E1" s="120"/>
      <c r="F1" s="101" t="s">
        <v>26</v>
      </c>
    </row>
    <row r="2" spans="1:10" ht="15.75">
      <c r="A2" s="120"/>
      <c r="B2" s="120"/>
      <c r="C2" s="120"/>
      <c r="D2" s="120"/>
      <c r="E2" s="120"/>
      <c r="F2" s="101" t="s">
        <v>218</v>
      </c>
    </row>
    <row r="3" spans="1:10" ht="15.75">
      <c r="A3" s="120"/>
      <c r="B3" s="120"/>
      <c r="C3" s="120"/>
      <c r="D3" s="120"/>
      <c r="E3" s="120"/>
      <c r="F3" s="101" t="s">
        <v>432</v>
      </c>
    </row>
    <row r="4" spans="1:10" ht="15.75">
      <c r="A4" s="120"/>
      <c r="B4" s="120"/>
      <c r="C4" s="120"/>
      <c r="D4" s="120"/>
      <c r="E4" s="120"/>
      <c r="F4" s="101" t="s">
        <v>492</v>
      </c>
    </row>
    <row r="5" spans="1:10" ht="15.75">
      <c r="A5" s="120"/>
      <c r="B5" s="120"/>
      <c r="C5" s="120"/>
      <c r="D5" s="120"/>
      <c r="E5" s="120"/>
      <c r="F5" s="101" t="str">
        <f>'Приложение 1'!D5</f>
        <v>от "09" июня 2021 года №38-153</v>
      </c>
    </row>
    <row r="6" spans="1:10">
      <c r="A6" s="120"/>
      <c r="B6" s="120"/>
      <c r="C6" s="120"/>
      <c r="D6" s="120"/>
      <c r="E6" s="120"/>
      <c r="F6" s="120"/>
    </row>
    <row r="7" spans="1:10" ht="71.25" customHeight="1">
      <c r="A7" s="249" t="s">
        <v>526</v>
      </c>
      <c r="B7" s="249"/>
      <c r="C7" s="249"/>
      <c r="D7" s="249"/>
      <c r="E7" s="249"/>
      <c r="F7" s="249"/>
    </row>
    <row r="8" spans="1:10" ht="18.75">
      <c r="A8" s="110"/>
      <c r="B8" s="110"/>
      <c r="C8" s="110"/>
      <c r="D8" s="110"/>
      <c r="E8" s="110"/>
      <c r="F8" s="111" t="s">
        <v>130</v>
      </c>
    </row>
    <row r="9" spans="1:10" ht="173.25">
      <c r="A9" s="112" t="s">
        <v>4</v>
      </c>
      <c r="B9" s="112" t="s">
        <v>245</v>
      </c>
      <c r="C9" s="112" t="s">
        <v>246</v>
      </c>
      <c r="D9" s="112" t="s">
        <v>521</v>
      </c>
      <c r="E9" s="112" t="s">
        <v>495</v>
      </c>
      <c r="F9" s="112" t="s">
        <v>223</v>
      </c>
      <c r="G9" s="30"/>
      <c r="H9" s="30"/>
      <c r="I9" s="30"/>
      <c r="J9" s="30"/>
    </row>
    <row r="10" spans="1:10" ht="15.75">
      <c r="A10" s="113" t="s">
        <v>247</v>
      </c>
      <c r="B10" s="114">
        <v>1</v>
      </c>
      <c r="C10" s="114" t="s">
        <v>132</v>
      </c>
      <c r="D10" s="115">
        <f>SUM(D11:D15)</f>
        <v>26571.1</v>
      </c>
      <c r="E10" s="115">
        <f>SUM(E11:E15)</f>
        <v>26521</v>
      </c>
      <c r="F10" s="115">
        <f>SUM(F11:F15)</f>
        <v>19656.600000000002</v>
      </c>
    </row>
    <row r="11" spans="1:10" ht="31.5">
      <c r="A11" s="113" t="s">
        <v>23</v>
      </c>
      <c r="B11" s="114">
        <v>1</v>
      </c>
      <c r="C11" s="114">
        <v>3</v>
      </c>
      <c r="D11" s="115">
        <f>'Приложение 5'!I13</f>
        <v>973.5</v>
      </c>
      <c r="E11" s="115">
        <f>'Приложение 5'!J13</f>
        <v>973.5</v>
      </c>
      <c r="F11" s="115">
        <f>'Приложение 5'!K13</f>
        <v>964.9</v>
      </c>
    </row>
    <row r="12" spans="1:10" ht="31.5">
      <c r="A12" s="113" t="s">
        <v>12</v>
      </c>
      <c r="B12" s="114">
        <v>1</v>
      </c>
      <c r="C12" s="114">
        <v>4</v>
      </c>
      <c r="D12" s="115">
        <f>'Приложение 5'!I20</f>
        <v>12419.300000000001</v>
      </c>
      <c r="E12" s="115">
        <f>'Приложение 5'!J20</f>
        <v>12419.300000000001</v>
      </c>
      <c r="F12" s="115">
        <f>'Приложение 5'!K20</f>
        <v>11672.800000000001</v>
      </c>
    </row>
    <row r="13" spans="1:10" ht="31.5">
      <c r="A13" s="113" t="s">
        <v>289</v>
      </c>
      <c r="B13" s="114">
        <v>1</v>
      </c>
      <c r="C13" s="114">
        <v>6</v>
      </c>
      <c r="D13" s="115">
        <f>'Приложение 5'!I43</f>
        <v>190.7</v>
      </c>
      <c r="E13" s="115">
        <f>'Приложение 5'!J43</f>
        <v>190.7</v>
      </c>
      <c r="F13" s="115">
        <f>'Приложение 5'!K43</f>
        <v>190.7</v>
      </c>
    </row>
    <row r="14" spans="1:10" ht="15.75">
      <c r="A14" s="113" t="s">
        <v>0</v>
      </c>
      <c r="B14" s="114">
        <v>1</v>
      </c>
      <c r="C14" s="114">
        <v>11</v>
      </c>
      <c r="D14" s="115">
        <f>'Приложение 5'!I48</f>
        <v>60</v>
      </c>
      <c r="E14" s="115">
        <f>'Приложение 5'!J48</f>
        <v>9.9</v>
      </c>
      <c r="F14" s="115">
        <f>'Приложение 5'!K48</f>
        <v>0</v>
      </c>
    </row>
    <row r="15" spans="1:10" ht="15.75">
      <c r="A15" s="113" t="s">
        <v>19</v>
      </c>
      <c r="B15" s="114">
        <v>1</v>
      </c>
      <c r="C15" s="114">
        <v>13</v>
      </c>
      <c r="D15" s="115">
        <f>'Приложение 5'!I53</f>
        <v>12927.599999999999</v>
      </c>
      <c r="E15" s="115">
        <f>'Приложение 5'!J53</f>
        <v>12927.599999999999</v>
      </c>
      <c r="F15" s="115">
        <f>'Приложение 5'!K53</f>
        <v>6828.2</v>
      </c>
    </row>
    <row r="16" spans="1:10" ht="15.75">
      <c r="A16" s="113" t="s">
        <v>248</v>
      </c>
      <c r="B16" s="114">
        <v>2</v>
      </c>
      <c r="C16" s="114" t="s">
        <v>132</v>
      </c>
      <c r="D16" s="115">
        <f>D17</f>
        <v>481.6</v>
      </c>
      <c r="E16" s="115">
        <f>E17</f>
        <v>481.6</v>
      </c>
      <c r="F16" s="115">
        <f>F17</f>
        <v>481.6</v>
      </c>
    </row>
    <row r="17" spans="1:6" ht="15.75">
      <c r="A17" s="113" t="s">
        <v>2</v>
      </c>
      <c r="B17" s="114">
        <v>2</v>
      </c>
      <c r="C17" s="114">
        <v>3</v>
      </c>
      <c r="D17" s="115">
        <f>'Приложение 5'!I111</f>
        <v>481.6</v>
      </c>
      <c r="E17" s="115">
        <f>'Приложение 5'!J111</f>
        <v>481.6</v>
      </c>
      <c r="F17" s="115">
        <f>'Приложение 5'!K111</f>
        <v>481.6</v>
      </c>
    </row>
    <row r="18" spans="1:6" ht="15.75">
      <c r="A18" s="113" t="s">
        <v>249</v>
      </c>
      <c r="B18" s="114">
        <v>3</v>
      </c>
      <c r="C18" s="114" t="s">
        <v>132</v>
      </c>
      <c r="D18" s="115">
        <f>SUM(D19:D20)</f>
        <v>1635.5</v>
      </c>
      <c r="E18" s="115">
        <f>SUM(E19:E20)</f>
        <v>1635.5</v>
      </c>
      <c r="F18" s="115">
        <f>SUM(F19:F20)</f>
        <v>1520</v>
      </c>
    </row>
    <row r="19" spans="1:6" ht="31.5">
      <c r="A19" s="113" t="s">
        <v>29</v>
      </c>
      <c r="B19" s="114">
        <v>3</v>
      </c>
      <c r="C19" s="114">
        <v>9</v>
      </c>
      <c r="D19" s="115">
        <f>'Приложение 5'!I118</f>
        <v>1102.5</v>
      </c>
      <c r="E19" s="115">
        <f>'Приложение 5'!J118</f>
        <v>1102.5</v>
      </c>
      <c r="F19" s="115">
        <f>'Приложение 5'!K118</f>
        <v>1072.5999999999999</v>
      </c>
    </row>
    <row r="20" spans="1:6" ht="15.75">
      <c r="A20" s="113" t="s">
        <v>370</v>
      </c>
      <c r="B20" s="114">
        <v>3</v>
      </c>
      <c r="C20" s="114">
        <v>10</v>
      </c>
      <c r="D20" s="115">
        <f>'Приложение 5'!I130</f>
        <v>533</v>
      </c>
      <c r="E20" s="115">
        <f>'Приложение 5'!J130</f>
        <v>533</v>
      </c>
      <c r="F20" s="115">
        <f>'Приложение 5'!K130</f>
        <v>447.4</v>
      </c>
    </row>
    <row r="21" spans="1:6" ht="15.75">
      <c r="A21" s="113" t="s">
        <v>250</v>
      </c>
      <c r="B21" s="114">
        <v>4</v>
      </c>
      <c r="C21" s="114" t="s">
        <v>132</v>
      </c>
      <c r="D21" s="115">
        <f>SUM(D22:D24)</f>
        <v>35575.600000000006</v>
      </c>
      <c r="E21" s="115">
        <f>SUM(E22:E24)</f>
        <v>35574.700000000004</v>
      </c>
      <c r="F21" s="115">
        <f>SUM(F22:F24)</f>
        <v>28204.300000000003</v>
      </c>
    </row>
    <row r="22" spans="1:6" ht="15.75">
      <c r="A22" s="113" t="s">
        <v>38</v>
      </c>
      <c r="B22" s="114">
        <v>4</v>
      </c>
      <c r="C22" s="114">
        <v>9</v>
      </c>
      <c r="D22" s="115">
        <f>'Приложение 5'!I136</f>
        <v>35471.300000000003</v>
      </c>
      <c r="E22" s="115">
        <f>'Приложение 5'!J136</f>
        <v>35471.300000000003</v>
      </c>
      <c r="F22" s="115">
        <f>'Приложение 5'!K136</f>
        <v>28100.9</v>
      </c>
    </row>
    <row r="23" spans="1:6" ht="15.75">
      <c r="A23" s="113" t="s">
        <v>412</v>
      </c>
      <c r="B23" s="114">
        <v>4</v>
      </c>
      <c r="C23" s="114">
        <v>10</v>
      </c>
      <c r="D23" s="115">
        <f>'Приложение 5'!I151</f>
        <v>74.3</v>
      </c>
      <c r="E23" s="115">
        <f>'Приложение 5'!J151</f>
        <v>73.400000000000006</v>
      </c>
      <c r="F23" s="115">
        <f>'Приложение 5'!K151</f>
        <v>73.400000000000006</v>
      </c>
    </row>
    <row r="24" spans="1:6" ht="15.75">
      <c r="A24" s="113" t="s">
        <v>39</v>
      </c>
      <c r="B24" s="114">
        <v>4</v>
      </c>
      <c r="C24" s="114">
        <v>12</v>
      </c>
      <c r="D24" s="115">
        <f>'Приложение 5'!I156</f>
        <v>30</v>
      </c>
      <c r="E24" s="115">
        <f>'Приложение 5'!J156</f>
        <v>30</v>
      </c>
      <c r="F24" s="115">
        <f>'Приложение 5'!K156</f>
        <v>30</v>
      </c>
    </row>
    <row r="25" spans="1:6" ht="15.75">
      <c r="A25" s="113" t="s">
        <v>251</v>
      </c>
      <c r="B25" s="114">
        <v>5</v>
      </c>
      <c r="C25" s="114" t="s">
        <v>132</v>
      </c>
      <c r="D25" s="115">
        <f>SUM(D26:D29)</f>
        <v>67113.900000000009</v>
      </c>
      <c r="E25" s="115">
        <f>SUM(E26:E29)</f>
        <v>67164</v>
      </c>
      <c r="F25" s="115">
        <f>SUM(F26:F29)</f>
        <v>51096.600000000006</v>
      </c>
    </row>
    <row r="26" spans="1:6" ht="15.75">
      <c r="A26" s="113" t="s">
        <v>15</v>
      </c>
      <c r="B26" s="114">
        <v>5</v>
      </c>
      <c r="C26" s="114">
        <v>1</v>
      </c>
      <c r="D26" s="115">
        <f>'Приложение 5'!I161</f>
        <v>22161.8</v>
      </c>
      <c r="E26" s="115">
        <f>'Приложение 5'!J161</f>
        <v>22161.799999999996</v>
      </c>
      <c r="F26" s="115">
        <f>'Приложение 5'!K161</f>
        <v>11602.800000000001</v>
      </c>
    </row>
    <row r="27" spans="1:6" ht="15.75">
      <c r="A27" s="113" t="s">
        <v>32</v>
      </c>
      <c r="B27" s="114">
        <v>5</v>
      </c>
      <c r="C27" s="114">
        <v>2</v>
      </c>
      <c r="D27" s="115">
        <f>'Приложение 5'!I180</f>
        <v>0</v>
      </c>
      <c r="E27" s="115">
        <f>'Приложение 5'!J180</f>
        <v>50.1</v>
      </c>
      <c r="F27" s="115">
        <f>'Приложение 5'!K180</f>
        <v>50</v>
      </c>
    </row>
    <row r="28" spans="1:6" ht="15.75">
      <c r="A28" s="113" t="s">
        <v>3</v>
      </c>
      <c r="B28" s="114">
        <v>5</v>
      </c>
      <c r="C28" s="114">
        <v>3</v>
      </c>
      <c r="D28" s="115">
        <f>'Приложение 5'!I185</f>
        <v>26782</v>
      </c>
      <c r="E28" s="115">
        <f>'Приложение 5'!J185</f>
        <v>26782</v>
      </c>
      <c r="F28" s="115">
        <f>'Приложение 5'!K185</f>
        <v>23769</v>
      </c>
    </row>
    <row r="29" spans="1:6" ht="15.75">
      <c r="A29" s="113" t="s">
        <v>252</v>
      </c>
      <c r="B29" s="114">
        <v>5</v>
      </c>
      <c r="C29" s="114">
        <v>5</v>
      </c>
      <c r="D29" s="115">
        <f>'Приложение 5'!I217</f>
        <v>18170.100000000002</v>
      </c>
      <c r="E29" s="115">
        <f>'Приложение 5'!J217</f>
        <v>18170.100000000002</v>
      </c>
      <c r="F29" s="115">
        <f>'Приложение 5'!K217</f>
        <v>15674.800000000001</v>
      </c>
    </row>
    <row r="30" spans="1:6" ht="15.75">
      <c r="A30" s="113" t="s">
        <v>482</v>
      </c>
      <c r="B30" s="114">
        <v>6</v>
      </c>
      <c r="C30" s="114"/>
      <c r="D30" s="115">
        <f>D31</f>
        <v>114.5</v>
      </c>
      <c r="E30" s="115">
        <f>E31</f>
        <v>114.5</v>
      </c>
      <c r="F30" s="115">
        <f>F31</f>
        <v>112</v>
      </c>
    </row>
    <row r="31" spans="1:6" ht="15.75">
      <c r="A31" s="113" t="s">
        <v>483</v>
      </c>
      <c r="B31" s="114">
        <v>6</v>
      </c>
      <c r="C31" s="114">
        <v>5</v>
      </c>
      <c r="D31" s="115">
        <f>'Приложение 5'!I233</f>
        <v>114.5</v>
      </c>
      <c r="E31" s="115">
        <f>'Приложение 5'!J233</f>
        <v>114.5</v>
      </c>
      <c r="F31" s="115">
        <f>'Приложение 5'!K233</f>
        <v>112</v>
      </c>
    </row>
    <row r="32" spans="1:6" ht="15.75">
      <c r="A32" s="113" t="s">
        <v>253</v>
      </c>
      <c r="B32" s="114">
        <v>7</v>
      </c>
      <c r="C32" s="114" t="s">
        <v>132</v>
      </c>
      <c r="D32" s="115">
        <f>SUM(D33:D34)</f>
        <v>2146</v>
      </c>
      <c r="E32" s="115">
        <f>SUM(E33:E34)</f>
        <v>2146</v>
      </c>
      <c r="F32" s="115">
        <f>SUM(F33:F34)</f>
        <v>2146</v>
      </c>
    </row>
    <row r="33" spans="1:6" ht="15.75">
      <c r="A33" s="113" t="s">
        <v>27</v>
      </c>
      <c r="B33" s="114">
        <v>7</v>
      </c>
      <c r="C33" s="114">
        <v>5</v>
      </c>
      <c r="D33" s="115">
        <f>'Приложение 5'!I239</f>
        <v>25</v>
      </c>
      <c r="E33" s="115">
        <f>'Приложение 5'!J239</f>
        <v>25</v>
      </c>
      <c r="F33" s="115">
        <f>'Приложение 5'!K239</f>
        <v>25</v>
      </c>
    </row>
    <row r="34" spans="1:6" ht="15.75">
      <c r="A34" s="113" t="s">
        <v>71</v>
      </c>
      <c r="B34" s="114">
        <v>7</v>
      </c>
      <c r="C34" s="114">
        <v>7</v>
      </c>
      <c r="D34" s="115">
        <f>'Приложение 5'!I243</f>
        <v>2121</v>
      </c>
      <c r="E34" s="115">
        <f>'Приложение 5'!J243</f>
        <v>2121</v>
      </c>
      <c r="F34" s="115">
        <f>'Приложение 5'!K243</f>
        <v>2121</v>
      </c>
    </row>
    <row r="35" spans="1:6" ht="15.75">
      <c r="A35" s="113" t="s">
        <v>254</v>
      </c>
      <c r="B35" s="114">
        <v>8</v>
      </c>
      <c r="C35" s="114" t="s">
        <v>132</v>
      </c>
      <c r="D35" s="115">
        <f>SUM(D36:D37)</f>
        <v>21841.600000000002</v>
      </c>
      <c r="E35" s="115">
        <f>SUM(E36:E37)</f>
        <v>21841.600000000002</v>
      </c>
      <c r="F35" s="115">
        <f>SUM(F36:F37)</f>
        <v>18027.699999999997</v>
      </c>
    </row>
    <row r="36" spans="1:6" ht="15.75">
      <c r="A36" s="113" t="s">
        <v>18</v>
      </c>
      <c r="B36" s="114">
        <v>8</v>
      </c>
      <c r="C36" s="114">
        <v>1</v>
      </c>
      <c r="D36" s="115">
        <f>'Приложение 5'!I249</f>
        <v>20921.2</v>
      </c>
      <c r="E36" s="115">
        <f>'Приложение 5'!J249</f>
        <v>20921.2</v>
      </c>
      <c r="F36" s="115">
        <f>'Приложение 5'!K249</f>
        <v>17199.099999999999</v>
      </c>
    </row>
    <row r="37" spans="1:6" ht="15.75">
      <c r="A37" s="113" t="s">
        <v>30</v>
      </c>
      <c r="B37" s="114">
        <v>8</v>
      </c>
      <c r="C37" s="114">
        <v>4</v>
      </c>
      <c r="D37" s="115">
        <f>'Приложение 5'!I280</f>
        <v>920.40000000000009</v>
      </c>
      <c r="E37" s="115">
        <f>'Приложение 5'!J280</f>
        <v>920.40000000000009</v>
      </c>
      <c r="F37" s="115">
        <f>'Приложение 5'!K280</f>
        <v>828.6</v>
      </c>
    </row>
    <row r="38" spans="1:6" ht="15.75">
      <c r="A38" s="113" t="s">
        <v>255</v>
      </c>
      <c r="B38" s="114">
        <v>10</v>
      </c>
      <c r="C38" s="114" t="s">
        <v>132</v>
      </c>
      <c r="D38" s="115">
        <f>D39</f>
        <v>705</v>
      </c>
      <c r="E38" s="115">
        <f>E39</f>
        <v>705</v>
      </c>
      <c r="F38" s="115">
        <f>F39</f>
        <v>656.4</v>
      </c>
    </row>
    <row r="39" spans="1:6" ht="15.75">
      <c r="A39" s="113" t="s">
        <v>36</v>
      </c>
      <c r="B39" s="114">
        <v>10</v>
      </c>
      <c r="C39" s="114">
        <v>3</v>
      </c>
      <c r="D39" s="115">
        <f>'Приложение 5'!I290</f>
        <v>705</v>
      </c>
      <c r="E39" s="115">
        <f>'Приложение 5'!J290</f>
        <v>705</v>
      </c>
      <c r="F39" s="115">
        <f>'Приложение 5'!K290</f>
        <v>656.4</v>
      </c>
    </row>
    <row r="40" spans="1:6" ht="15.75">
      <c r="A40" s="113" t="s">
        <v>256</v>
      </c>
      <c r="B40" s="114">
        <v>11</v>
      </c>
      <c r="C40" s="114" t="s">
        <v>132</v>
      </c>
      <c r="D40" s="115">
        <f>D41</f>
        <v>2595</v>
      </c>
      <c r="E40" s="115">
        <f>E41</f>
        <v>2595</v>
      </c>
      <c r="F40" s="115">
        <f>F41</f>
        <v>1877.3</v>
      </c>
    </row>
    <row r="41" spans="1:6" ht="15.75">
      <c r="A41" s="113" t="s">
        <v>31</v>
      </c>
      <c r="B41" s="114">
        <v>11</v>
      </c>
      <c r="C41" s="114">
        <v>5</v>
      </c>
      <c r="D41" s="115">
        <f>'Приложение 5'!I304</f>
        <v>2595</v>
      </c>
      <c r="E41" s="115">
        <f>'Приложение 5'!J304</f>
        <v>2595</v>
      </c>
      <c r="F41" s="115">
        <f>'Приложение 5'!K304</f>
        <v>1877.3</v>
      </c>
    </row>
    <row r="42" spans="1:6" ht="15.75">
      <c r="A42" s="113" t="s">
        <v>349</v>
      </c>
      <c r="B42" s="114">
        <v>12</v>
      </c>
      <c r="C42" s="114"/>
      <c r="D42" s="115">
        <f>D43</f>
        <v>1000</v>
      </c>
      <c r="E42" s="115">
        <f>E43</f>
        <v>1000</v>
      </c>
      <c r="F42" s="115">
        <f>F43</f>
        <v>728</v>
      </c>
    </row>
    <row r="43" spans="1:6" ht="15.75">
      <c r="A43" s="113" t="s">
        <v>347</v>
      </c>
      <c r="B43" s="114">
        <v>12</v>
      </c>
      <c r="C43" s="114">
        <v>2</v>
      </c>
      <c r="D43" s="115">
        <f>'Приложение 5'!I314</f>
        <v>1000</v>
      </c>
      <c r="E43" s="115">
        <f>'Приложение 5'!J314</f>
        <v>1000</v>
      </c>
      <c r="F43" s="115">
        <f>'Приложение 5'!K314</f>
        <v>728</v>
      </c>
    </row>
    <row r="44" spans="1:6" s="36" customFormat="1" ht="15.75">
      <c r="A44" s="116" t="s">
        <v>134</v>
      </c>
      <c r="B44" s="116" t="s">
        <v>132</v>
      </c>
      <c r="C44" s="116" t="s">
        <v>132</v>
      </c>
      <c r="D44" s="117">
        <f>D10+D16+D18+D21+D25+D30+D32+D35+D38+D40+D42</f>
        <v>159779.80000000002</v>
      </c>
      <c r="E44" s="117">
        <f>E10+E16+E18+E21+E25+E30+E32+E35+E38+E40+E42</f>
        <v>159778.9</v>
      </c>
      <c r="F44" s="117">
        <f>F10+F16+F18+F21+F25+F30+F32+F35+F38+F40+F42</f>
        <v>124506.5</v>
      </c>
    </row>
    <row r="45" spans="1:6">
      <c r="A45" s="118"/>
      <c r="B45" s="118"/>
      <c r="C45" s="118"/>
      <c r="D45" s="119">
        <f>D44-'Приложение 5'!I319</f>
        <v>0</v>
      </c>
      <c r="E45" s="119">
        <f>E44-'Приложение 5'!J319</f>
        <v>0</v>
      </c>
      <c r="F45" s="119">
        <f>F44-'Приложение 5'!K319</f>
        <v>0</v>
      </c>
    </row>
    <row r="46" spans="1:6">
      <c r="A46" s="31"/>
      <c r="B46" s="31"/>
      <c r="C46" s="31"/>
      <c r="D46" s="31"/>
      <c r="E46" s="31"/>
      <c r="F46" s="31"/>
    </row>
    <row r="47" spans="1:6" ht="15.75">
      <c r="A47" s="32"/>
      <c r="B47" s="31"/>
      <c r="C47" s="31"/>
      <c r="D47" s="31"/>
      <c r="E47" s="31"/>
      <c r="F47" s="32"/>
    </row>
  </sheetData>
  <mergeCells count="1">
    <mergeCell ref="A7:F7"/>
  </mergeCells>
  <pageMargins left="0.78740157480314965" right="0.39370078740157483" top="0.39370078740157483" bottom="0.39370078740157483" header="0.19685039370078741" footer="0.19685039370078741"/>
  <pageSetup paperSize="9" scale="83"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K322"/>
  <sheetViews>
    <sheetView view="pageBreakPreview" zoomScaleNormal="100" zoomScaleSheetLayoutView="100" workbookViewId="0"/>
  </sheetViews>
  <sheetFormatPr defaultRowHeight="15"/>
  <cols>
    <col min="1" max="1" width="94.85546875" style="3" customWidth="1"/>
    <col min="2" max="2" width="5.28515625" style="4" customWidth="1"/>
    <col min="3" max="3" width="6" style="4" customWidth="1"/>
    <col min="4" max="4" width="4.140625" style="4" customWidth="1"/>
    <col min="5" max="6" width="3.28515625" style="5" customWidth="1"/>
    <col min="7" max="7" width="6.7109375" style="3" bestFit="1" customWidth="1"/>
    <col min="8" max="8" width="7.42578125" style="3" customWidth="1"/>
    <col min="9" max="10" width="15.7109375" style="8" customWidth="1"/>
    <col min="11" max="11" width="11.7109375" style="8" customWidth="1"/>
    <col min="12" max="16384" width="9.140625" style="3"/>
  </cols>
  <sheetData>
    <row r="1" spans="1:11" ht="15.75">
      <c r="A1" s="99"/>
      <c r="B1" s="124"/>
      <c r="C1" s="124"/>
      <c r="D1" s="124"/>
      <c r="E1" s="125"/>
      <c r="F1" s="125"/>
      <c r="G1" s="99"/>
      <c r="H1" s="124"/>
      <c r="I1" s="126"/>
      <c r="J1" s="126"/>
      <c r="K1" s="101" t="s">
        <v>159</v>
      </c>
    </row>
    <row r="2" spans="1:11" ht="15.75">
      <c r="A2" s="99"/>
      <c r="B2" s="124"/>
      <c r="C2" s="124"/>
      <c r="D2" s="124"/>
      <c r="E2" s="125"/>
      <c r="F2" s="125"/>
      <c r="G2" s="99"/>
      <c r="H2" s="124"/>
      <c r="I2" s="126"/>
      <c r="J2" s="126"/>
      <c r="K2" s="101" t="s">
        <v>218</v>
      </c>
    </row>
    <row r="3" spans="1:11" ht="15.75">
      <c r="A3" s="99"/>
      <c r="B3" s="124"/>
      <c r="C3" s="124"/>
      <c r="D3" s="124"/>
      <c r="E3" s="125"/>
      <c r="F3" s="125"/>
      <c r="G3" s="99"/>
      <c r="H3" s="124"/>
      <c r="I3" s="126"/>
      <c r="J3" s="126"/>
      <c r="K3" s="101" t="s">
        <v>432</v>
      </c>
    </row>
    <row r="4" spans="1:11" ht="15.75">
      <c r="A4" s="99"/>
      <c r="B4" s="124"/>
      <c r="C4" s="124"/>
      <c r="D4" s="124"/>
      <c r="E4" s="125"/>
      <c r="F4" s="125"/>
      <c r="G4" s="99"/>
      <c r="H4" s="124"/>
      <c r="I4" s="126"/>
      <c r="J4" s="126"/>
      <c r="K4" s="101" t="s">
        <v>492</v>
      </c>
    </row>
    <row r="5" spans="1:11" ht="15.75">
      <c r="A5" s="99"/>
      <c r="B5" s="124"/>
      <c r="C5" s="124"/>
      <c r="D5" s="124"/>
      <c r="E5" s="125"/>
      <c r="F5" s="125"/>
      <c r="G5" s="99"/>
      <c r="H5" s="124"/>
      <c r="I5" s="126"/>
      <c r="J5" s="126"/>
      <c r="K5" s="101" t="str">
        <f>'Приложение 1'!D5</f>
        <v>от "09" июня 2021 года №38-153</v>
      </c>
    </row>
    <row r="6" spans="1:11" ht="12.75" customHeight="1">
      <c r="A6" s="99"/>
      <c r="B6" s="124"/>
      <c r="C6" s="124"/>
      <c r="D6" s="124"/>
      <c r="E6" s="125"/>
      <c r="F6" s="125"/>
      <c r="G6" s="99"/>
      <c r="H6" s="124"/>
      <c r="I6" s="127"/>
      <c r="J6" s="127"/>
      <c r="K6" s="126"/>
    </row>
    <row r="7" spans="1:11" ht="12.75" customHeight="1">
      <c r="A7" s="99"/>
      <c r="B7" s="124"/>
      <c r="C7" s="124"/>
      <c r="D7" s="124"/>
      <c r="E7" s="100"/>
      <c r="F7" s="100"/>
      <c r="G7" s="99"/>
      <c r="H7" s="99"/>
      <c r="I7" s="126"/>
      <c r="J7" s="126"/>
      <c r="K7" s="126"/>
    </row>
    <row r="8" spans="1:11" ht="16.5" customHeight="1">
      <c r="A8" s="128"/>
      <c r="B8" s="128"/>
      <c r="C8" s="128"/>
      <c r="D8" s="128"/>
      <c r="E8" s="128"/>
      <c r="F8" s="128"/>
      <c r="G8" s="128"/>
      <c r="H8" s="128"/>
      <c r="I8" s="129"/>
      <c r="J8" s="129"/>
      <c r="K8" s="129"/>
    </row>
    <row r="9" spans="1:11" ht="75.75" customHeight="1">
      <c r="A9" s="251" t="s">
        <v>555</v>
      </c>
      <c r="B9" s="251"/>
      <c r="C9" s="251"/>
      <c r="D9" s="251"/>
      <c r="E9" s="251"/>
      <c r="F9" s="251"/>
      <c r="G9" s="251"/>
      <c r="H9" s="251"/>
      <c r="I9" s="251"/>
      <c r="J9" s="251"/>
      <c r="K9" s="251"/>
    </row>
    <row r="10" spans="1:11">
      <c r="A10" s="130"/>
      <c r="B10" s="131"/>
      <c r="C10" s="131"/>
      <c r="D10" s="131"/>
      <c r="E10" s="131"/>
      <c r="F10" s="131"/>
      <c r="G10" s="131"/>
      <c r="H10" s="131"/>
      <c r="I10" s="132"/>
      <c r="J10" s="132"/>
      <c r="K10" s="133" t="s">
        <v>130</v>
      </c>
    </row>
    <row r="11" spans="1:11" ht="236.25">
      <c r="A11" s="134" t="s">
        <v>4</v>
      </c>
      <c r="B11" s="46" t="s">
        <v>245</v>
      </c>
      <c r="C11" s="46" t="s">
        <v>246</v>
      </c>
      <c r="D11" s="250" t="s">
        <v>5</v>
      </c>
      <c r="E11" s="250"/>
      <c r="F11" s="250"/>
      <c r="G11" s="250"/>
      <c r="H11" s="46" t="s">
        <v>558</v>
      </c>
      <c r="I11" s="92" t="s">
        <v>521</v>
      </c>
      <c r="J11" s="92" t="s">
        <v>495</v>
      </c>
      <c r="K11" s="92" t="s">
        <v>223</v>
      </c>
    </row>
    <row r="12" spans="1:11" s="6" customFormat="1" ht="15.75">
      <c r="A12" s="135" t="s">
        <v>247</v>
      </c>
      <c r="B12" s="136">
        <v>1</v>
      </c>
      <c r="C12" s="136"/>
      <c r="D12" s="137"/>
      <c r="E12" s="138"/>
      <c r="F12" s="139"/>
      <c r="G12" s="140"/>
      <c r="H12" s="138"/>
      <c r="I12" s="141">
        <f>I13+I20+I43+I48+I53</f>
        <v>26571.1</v>
      </c>
      <c r="J12" s="141">
        <f>J13+J20+J43+J48+J53</f>
        <v>26521</v>
      </c>
      <c r="K12" s="141">
        <f>K13+K20+K43+K48+K53</f>
        <v>19656.600000000002</v>
      </c>
    </row>
    <row r="13" spans="1:11" ht="31.5">
      <c r="A13" s="142" t="s">
        <v>23</v>
      </c>
      <c r="B13" s="143" t="s">
        <v>9</v>
      </c>
      <c r="C13" s="143" t="s">
        <v>10</v>
      </c>
      <c r="D13" s="143" t="s">
        <v>8</v>
      </c>
      <c r="E13" s="144"/>
      <c r="F13" s="143"/>
      <c r="G13" s="143"/>
      <c r="H13" s="144" t="s">
        <v>6</v>
      </c>
      <c r="I13" s="145">
        <f>I14</f>
        <v>973.5</v>
      </c>
      <c r="J13" s="145">
        <f t="shared" ref="J13:K15" si="0">J14</f>
        <v>973.5</v>
      </c>
      <c r="K13" s="145">
        <f t="shared" si="0"/>
        <v>964.9</v>
      </c>
    </row>
    <row r="14" spans="1:11" ht="15.75">
      <c r="A14" s="146" t="s">
        <v>44</v>
      </c>
      <c r="B14" s="143" t="s">
        <v>9</v>
      </c>
      <c r="C14" s="143" t="s">
        <v>10</v>
      </c>
      <c r="D14" s="143">
        <v>91</v>
      </c>
      <c r="E14" s="144">
        <v>0</v>
      </c>
      <c r="F14" s="143" t="s">
        <v>118</v>
      </c>
      <c r="G14" s="143" t="s">
        <v>362</v>
      </c>
      <c r="H14" s="144" t="s">
        <v>6</v>
      </c>
      <c r="I14" s="145">
        <f>I15</f>
        <v>973.5</v>
      </c>
      <c r="J14" s="145">
        <f t="shared" si="0"/>
        <v>973.5</v>
      </c>
      <c r="K14" s="145">
        <f t="shared" si="0"/>
        <v>964.9</v>
      </c>
    </row>
    <row r="15" spans="1:11" ht="15.75">
      <c r="A15" s="146" t="s">
        <v>45</v>
      </c>
      <c r="B15" s="143" t="s">
        <v>9</v>
      </c>
      <c r="C15" s="143" t="s">
        <v>10</v>
      </c>
      <c r="D15" s="143">
        <v>91</v>
      </c>
      <c r="E15" s="144">
        <v>1</v>
      </c>
      <c r="F15" s="143" t="s">
        <v>282</v>
      </c>
      <c r="G15" s="143" t="s">
        <v>362</v>
      </c>
      <c r="H15" s="144"/>
      <c r="I15" s="145">
        <f>I16</f>
        <v>973.5</v>
      </c>
      <c r="J15" s="145">
        <f t="shared" si="0"/>
        <v>973.5</v>
      </c>
      <c r="K15" s="145">
        <f t="shared" si="0"/>
        <v>964.9</v>
      </c>
    </row>
    <row r="16" spans="1:11" ht="47.25">
      <c r="A16" s="146" t="s">
        <v>46</v>
      </c>
      <c r="B16" s="143" t="s">
        <v>9</v>
      </c>
      <c r="C16" s="143" t="s">
        <v>10</v>
      </c>
      <c r="D16" s="143">
        <v>91</v>
      </c>
      <c r="E16" s="144">
        <v>1</v>
      </c>
      <c r="F16" s="143" t="s">
        <v>282</v>
      </c>
      <c r="G16" s="143" t="s">
        <v>283</v>
      </c>
      <c r="H16" s="144"/>
      <c r="I16" s="145">
        <f>I17+I18</f>
        <v>973.5</v>
      </c>
      <c r="J16" s="145">
        <f>J17+J18</f>
        <v>973.5</v>
      </c>
      <c r="K16" s="145">
        <f>K17+K18</f>
        <v>964.9</v>
      </c>
    </row>
    <row r="17" spans="1:11" ht="15.75">
      <c r="A17" s="146" t="s">
        <v>106</v>
      </c>
      <c r="B17" s="143" t="s">
        <v>9</v>
      </c>
      <c r="C17" s="143" t="s">
        <v>10</v>
      </c>
      <c r="D17" s="143">
        <v>91</v>
      </c>
      <c r="E17" s="144">
        <v>1</v>
      </c>
      <c r="F17" s="143" t="s">
        <v>282</v>
      </c>
      <c r="G17" s="143" t="s">
        <v>283</v>
      </c>
      <c r="H17" s="144">
        <v>120</v>
      </c>
      <c r="I17" s="147">
        <f>'Приложение 6'!J316</f>
        <v>973.4</v>
      </c>
      <c r="J17" s="147">
        <f>'Приложение 6'!K316</f>
        <v>973.4</v>
      </c>
      <c r="K17" s="147">
        <f>'Приложение 6'!L316</f>
        <v>964.9</v>
      </c>
    </row>
    <row r="18" spans="1:11" ht="47.25">
      <c r="A18" s="146" t="s">
        <v>47</v>
      </c>
      <c r="B18" s="143" t="s">
        <v>9</v>
      </c>
      <c r="C18" s="143" t="s">
        <v>10</v>
      </c>
      <c r="D18" s="143">
        <v>91</v>
      </c>
      <c r="E18" s="144">
        <v>1</v>
      </c>
      <c r="F18" s="143" t="s">
        <v>282</v>
      </c>
      <c r="G18" s="143" t="s">
        <v>284</v>
      </c>
      <c r="H18" s="144"/>
      <c r="I18" s="147">
        <f>SUM(I19:I19)</f>
        <v>9.9999999999999978E-2</v>
      </c>
      <c r="J18" s="147">
        <f>SUM(J19:J19)</f>
        <v>9.9999999999999978E-2</v>
      </c>
      <c r="K18" s="147">
        <f>SUM(K19:K19)</f>
        <v>0</v>
      </c>
    </row>
    <row r="19" spans="1:11" ht="15.75">
      <c r="A19" s="148" t="s">
        <v>107</v>
      </c>
      <c r="B19" s="143" t="s">
        <v>9</v>
      </c>
      <c r="C19" s="143" t="s">
        <v>10</v>
      </c>
      <c r="D19" s="143">
        <v>91</v>
      </c>
      <c r="E19" s="144">
        <v>1</v>
      </c>
      <c r="F19" s="143" t="s">
        <v>282</v>
      </c>
      <c r="G19" s="143" t="s">
        <v>284</v>
      </c>
      <c r="H19" s="144">
        <v>850</v>
      </c>
      <c r="I19" s="147">
        <f>'Приложение 6'!J318</f>
        <v>9.9999999999999978E-2</v>
      </c>
      <c r="J19" s="147">
        <f>'Приложение 6'!K318</f>
        <v>9.9999999999999978E-2</v>
      </c>
      <c r="K19" s="147">
        <f>'Приложение 6'!L318</f>
        <v>0</v>
      </c>
    </row>
    <row r="20" spans="1:11" ht="31.5">
      <c r="A20" s="146" t="s">
        <v>12</v>
      </c>
      <c r="B20" s="143" t="s">
        <v>9</v>
      </c>
      <c r="C20" s="144" t="s">
        <v>13</v>
      </c>
      <c r="D20" s="143" t="s">
        <v>8</v>
      </c>
      <c r="E20" s="144"/>
      <c r="F20" s="143"/>
      <c r="G20" s="143"/>
      <c r="H20" s="144" t="s">
        <v>6</v>
      </c>
      <c r="I20" s="147">
        <f>I21+I32</f>
        <v>12419.300000000001</v>
      </c>
      <c r="J20" s="147">
        <f>J21+J32</f>
        <v>12419.300000000001</v>
      </c>
      <c r="K20" s="147">
        <f>K21+K32</f>
        <v>11672.800000000001</v>
      </c>
    </row>
    <row r="21" spans="1:11" ht="15.75">
      <c r="A21" s="146" t="s">
        <v>99</v>
      </c>
      <c r="B21" s="143" t="s">
        <v>9</v>
      </c>
      <c r="C21" s="144" t="s">
        <v>13</v>
      </c>
      <c r="D21" s="143">
        <v>92</v>
      </c>
      <c r="E21" s="144">
        <v>0</v>
      </c>
      <c r="F21" s="143" t="s">
        <v>282</v>
      </c>
      <c r="G21" s="143" t="s">
        <v>362</v>
      </c>
      <c r="H21" s="144"/>
      <c r="I21" s="147">
        <f>I22+I25</f>
        <v>11721.800000000001</v>
      </c>
      <c r="J21" s="147">
        <f>J22+J25</f>
        <v>11721.800000000001</v>
      </c>
      <c r="K21" s="147">
        <f>K22+K25</f>
        <v>10978.300000000001</v>
      </c>
    </row>
    <row r="22" spans="1:11" ht="15.75">
      <c r="A22" s="149" t="s">
        <v>24</v>
      </c>
      <c r="B22" s="143" t="s">
        <v>9</v>
      </c>
      <c r="C22" s="144" t="s">
        <v>13</v>
      </c>
      <c r="D22" s="143">
        <v>92</v>
      </c>
      <c r="E22" s="144">
        <v>1</v>
      </c>
      <c r="F22" s="143" t="s">
        <v>282</v>
      </c>
      <c r="G22" s="143" t="s">
        <v>362</v>
      </c>
      <c r="H22" s="144"/>
      <c r="I22" s="147">
        <f t="shared" ref="I22:K23" si="1">I23</f>
        <v>1230.5999999999999</v>
      </c>
      <c r="J22" s="147">
        <f t="shared" si="1"/>
        <v>1230.5999999999999</v>
      </c>
      <c r="K22" s="147">
        <f t="shared" si="1"/>
        <v>1103.4000000000001</v>
      </c>
    </row>
    <row r="23" spans="1:11" ht="47.25">
      <c r="A23" s="149" t="s">
        <v>48</v>
      </c>
      <c r="B23" s="143" t="s">
        <v>9</v>
      </c>
      <c r="C23" s="144" t="s">
        <v>13</v>
      </c>
      <c r="D23" s="143">
        <v>92</v>
      </c>
      <c r="E23" s="144">
        <v>1</v>
      </c>
      <c r="F23" s="143" t="s">
        <v>282</v>
      </c>
      <c r="G23" s="143" t="s">
        <v>283</v>
      </c>
      <c r="H23" s="144"/>
      <c r="I23" s="147">
        <f t="shared" si="1"/>
        <v>1230.5999999999999</v>
      </c>
      <c r="J23" s="147">
        <f t="shared" si="1"/>
        <v>1230.5999999999999</v>
      </c>
      <c r="K23" s="147">
        <f t="shared" si="1"/>
        <v>1103.4000000000001</v>
      </c>
    </row>
    <row r="24" spans="1:11" ht="15.75">
      <c r="A24" s="146" t="s">
        <v>106</v>
      </c>
      <c r="B24" s="143" t="s">
        <v>9</v>
      </c>
      <c r="C24" s="144" t="s">
        <v>13</v>
      </c>
      <c r="D24" s="143">
        <v>92</v>
      </c>
      <c r="E24" s="144">
        <v>1</v>
      </c>
      <c r="F24" s="143" t="s">
        <v>282</v>
      </c>
      <c r="G24" s="143" t="s">
        <v>283</v>
      </c>
      <c r="H24" s="144">
        <v>120</v>
      </c>
      <c r="I24" s="147">
        <f>'Приложение 6'!J16</f>
        <v>1230.5999999999999</v>
      </c>
      <c r="J24" s="147">
        <f>'Приложение 6'!K16</f>
        <v>1230.5999999999999</v>
      </c>
      <c r="K24" s="147">
        <f>'Приложение 6'!L16</f>
        <v>1103.4000000000001</v>
      </c>
    </row>
    <row r="25" spans="1:11" ht="15.75">
      <c r="A25" s="148" t="s">
        <v>98</v>
      </c>
      <c r="B25" s="143" t="s">
        <v>9</v>
      </c>
      <c r="C25" s="144" t="s">
        <v>13</v>
      </c>
      <c r="D25" s="143">
        <v>92</v>
      </c>
      <c r="E25" s="144">
        <v>2</v>
      </c>
      <c r="F25" s="143" t="s">
        <v>282</v>
      </c>
      <c r="G25" s="143" t="s">
        <v>362</v>
      </c>
      <c r="H25" s="144"/>
      <c r="I25" s="147">
        <f>I26+I28</f>
        <v>10491.2</v>
      </c>
      <c r="J25" s="147">
        <f>J26+J28</f>
        <v>10491.2</v>
      </c>
      <c r="K25" s="147">
        <f>K26+K28</f>
        <v>9874.9000000000015</v>
      </c>
    </row>
    <row r="26" spans="1:11" ht="47.25">
      <c r="A26" s="148" t="s">
        <v>48</v>
      </c>
      <c r="B26" s="143" t="s">
        <v>9</v>
      </c>
      <c r="C26" s="144" t="s">
        <v>13</v>
      </c>
      <c r="D26" s="143">
        <v>92</v>
      </c>
      <c r="E26" s="144">
        <v>2</v>
      </c>
      <c r="F26" s="143" t="s">
        <v>282</v>
      </c>
      <c r="G26" s="143" t="s">
        <v>283</v>
      </c>
      <c r="H26" s="144"/>
      <c r="I26" s="147">
        <f>I27</f>
        <v>8477.6</v>
      </c>
      <c r="J26" s="147">
        <f>J27</f>
        <v>8477.6</v>
      </c>
      <c r="K26" s="147">
        <f>K27</f>
        <v>8344.2000000000007</v>
      </c>
    </row>
    <row r="27" spans="1:11" ht="15.75">
      <c r="A27" s="146" t="s">
        <v>106</v>
      </c>
      <c r="B27" s="143" t="s">
        <v>9</v>
      </c>
      <c r="C27" s="144" t="s">
        <v>13</v>
      </c>
      <c r="D27" s="143">
        <v>92</v>
      </c>
      <c r="E27" s="144">
        <v>2</v>
      </c>
      <c r="F27" s="143" t="s">
        <v>282</v>
      </c>
      <c r="G27" s="143" t="s">
        <v>283</v>
      </c>
      <c r="H27" s="144">
        <v>120</v>
      </c>
      <c r="I27" s="147">
        <f>'Приложение 6'!J19</f>
        <v>8477.6</v>
      </c>
      <c r="J27" s="147">
        <f>'Приложение 6'!K19</f>
        <v>8477.6</v>
      </c>
      <c r="K27" s="147">
        <f>'Приложение 6'!L19</f>
        <v>8344.2000000000007</v>
      </c>
    </row>
    <row r="28" spans="1:11" ht="47.25">
      <c r="A28" s="148" t="s">
        <v>49</v>
      </c>
      <c r="B28" s="143" t="s">
        <v>9</v>
      </c>
      <c r="C28" s="144" t="s">
        <v>13</v>
      </c>
      <c r="D28" s="143">
        <v>92</v>
      </c>
      <c r="E28" s="144">
        <v>2</v>
      </c>
      <c r="F28" s="143" t="s">
        <v>282</v>
      </c>
      <c r="G28" s="143" t="s">
        <v>284</v>
      </c>
      <c r="H28" s="144"/>
      <c r="I28" s="147">
        <f>SUM(I29:I31)</f>
        <v>2013.6</v>
      </c>
      <c r="J28" s="147">
        <f>SUM(J29:J31)</f>
        <v>2013.6</v>
      </c>
      <c r="K28" s="147">
        <f>SUM(K29:K31)</f>
        <v>1530.7</v>
      </c>
    </row>
    <row r="29" spans="1:11" ht="15.75">
      <c r="A29" s="146" t="s">
        <v>106</v>
      </c>
      <c r="B29" s="143" t="s">
        <v>9</v>
      </c>
      <c r="C29" s="144" t="s">
        <v>13</v>
      </c>
      <c r="D29" s="143">
        <v>92</v>
      </c>
      <c r="E29" s="144">
        <v>2</v>
      </c>
      <c r="F29" s="143" t="s">
        <v>282</v>
      </c>
      <c r="G29" s="143" t="s">
        <v>284</v>
      </c>
      <c r="H29" s="144">
        <v>120</v>
      </c>
      <c r="I29" s="147">
        <f>'Приложение 6'!J21</f>
        <v>14.4</v>
      </c>
      <c r="J29" s="147">
        <f>'Приложение 6'!K21</f>
        <v>14.4</v>
      </c>
      <c r="K29" s="147">
        <f>'Приложение 6'!L21</f>
        <v>14.4</v>
      </c>
    </row>
    <row r="30" spans="1:11" ht="31.5">
      <c r="A30" s="148" t="s">
        <v>127</v>
      </c>
      <c r="B30" s="143" t="s">
        <v>9</v>
      </c>
      <c r="C30" s="144" t="s">
        <v>13</v>
      </c>
      <c r="D30" s="143">
        <v>92</v>
      </c>
      <c r="E30" s="144">
        <v>2</v>
      </c>
      <c r="F30" s="143" t="s">
        <v>282</v>
      </c>
      <c r="G30" s="143" t="s">
        <v>284</v>
      </c>
      <c r="H30" s="144">
        <v>240</v>
      </c>
      <c r="I30" s="147">
        <f>'Приложение 6'!J22</f>
        <v>1977.1999999999998</v>
      </c>
      <c r="J30" s="147">
        <f>'Приложение 6'!K22</f>
        <v>1977.1999999999998</v>
      </c>
      <c r="K30" s="147">
        <f>'Приложение 6'!L22</f>
        <v>1505.3</v>
      </c>
    </row>
    <row r="31" spans="1:11" ht="15.75">
      <c r="A31" s="148" t="s">
        <v>107</v>
      </c>
      <c r="B31" s="143" t="s">
        <v>9</v>
      </c>
      <c r="C31" s="144" t="s">
        <v>13</v>
      </c>
      <c r="D31" s="143">
        <v>92</v>
      </c>
      <c r="E31" s="144">
        <v>2</v>
      </c>
      <c r="F31" s="143" t="s">
        <v>282</v>
      </c>
      <c r="G31" s="143" t="s">
        <v>284</v>
      </c>
      <c r="H31" s="144">
        <v>850</v>
      </c>
      <c r="I31" s="147">
        <f>'Приложение 6'!J23</f>
        <v>22</v>
      </c>
      <c r="J31" s="147">
        <f>'Приложение 6'!K23</f>
        <v>22</v>
      </c>
      <c r="K31" s="147">
        <f>'Приложение 6'!L23</f>
        <v>11</v>
      </c>
    </row>
    <row r="32" spans="1:11" ht="15.75">
      <c r="A32" s="148" t="s">
        <v>85</v>
      </c>
      <c r="B32" s="143" t="s">
        <v>9</v>
      </c>
      <c r="C32" s="144" t="s">
        <v>13</v>
      </c>
      <c r="D32" s="143">
        <v>97</v>
      </c>
      <c r="E32" s="144">
        <v>0</v>
      </c>
      <c r="F32" s="143" t="s">
        <v>282</v>
      </c>
      <c r="G32" s="143" t="s">
        <v>362</v>
      </c>
      <c r="H32" s="144"/>
      <c r="I32" s="147">
        <f>I33</f>
        <v>697.5</v>
      </c>
      <c r="J32" s="147">
        <f>J33</f>
        <v>697.5</v>
      </c>
      <c r="K32" s="147">
        <f>K33</f>
        <v>694.5</v>
      </c>
    </row>
    <row r="33" spans="1:11" ht="47.25">
      <c r="A33" s="148" t="s">
        <v>50</v>
      </c>
      <c r="B33" s="143" t="s">
        <v>9</v>
      </c>
      <c r="C33" s="144" t="s">
        <v>13</v>
      </c>
      <c r="D33" s="143">
        <v>97</v>
      </c>
      <c r="E33" s="144">
        <v>2</v>
      </c>
      <c r="F33" s="143" t="s">
        <v>282</v>
      </c>
      <c r="G33" s="143" t="s">
        <v>362</v>
      </c>
      <c r="H33" s="144"/>
      <c r="I33" s="147">
        <f>I35+I37+I39+I41</f>
        <v>697.5</v>
      </c>
      <c r="J33" s="147">
        <f>J35+J37+J39+J41</f>
        <v>697.5</v>
      </c>
      <c r="K33" s="147">
        <f>K35+K37+K39+K41</f>
        <v>694.5</v>
      </c>
    </row>
    <row r="34" spans="1:11" ht="165">
      <c r="A34" s="150" t="s">
        <v>556</v>
      </c>
      <c r="B34" s="252" t="s">
        <v>9</v>
      </c>
      <c r="C34" s="252" t="s">
        <v>13</v>
      </c>
      <c r="D34" s="252" t="s">
        <v>57</v>
      </c>
      <c r="E34" s="253">
        <v>2</v>
      </c>
      <c r="F34" s="252" t="s">
        <v>282</v>
      </c>
      <c r="G34" s="252" t="s">
        <v>464</v>
      </c>
      <c r="H34" s="144"/>
      <c r="I34" s="147"/>
      <c r="J34" s="147"/>
      <c r="K34" s="147"/>
    </row>
    <row r="35" spans="1:11" ht="135">
      <c r="A35" s="150" t="s">
        <v>557</v>
      </c>
      <c r="B35" s="252"/>
      <c r="C35" s="252"/>
      <c r="D35" s="252"/>
      <c r="E35" s="253"/>
      <c r="F35" s="252"/>
      <c r="G35" s="252"/>
      <c r="H35" s="144"/>
      <c r="I35" s="147">
        <f>I36</f>
        <v>325.39999999999998</v>
      </c>
      <c r="J35" s="147">
        <f>J36</f>
        <v>325.39999999999998</v>
      </c>
      <c r="K35" s="147">
        <f>K36</f>
        <v>322.39999999999998</v>
      </c>
    </row>
    <row r="36" spans="1:11" ht="15.75">
      <c r="A36" s="151" t="s">
        <v>35</v>
      </c>
      <c r="B36" s="143" t="s">
        <v>9</v>
      </c>
      <c r="C36" s="143" t="s">
        <v>13</v>
      </c>
      <c r="D36" s="143" t="s">
        <v>57</v>
      </c>
      <c r="E36" s="144">
        <v>2</v>
      </c>
      <c r="F36" s="143" t="s">
        <v>282</v>
      </c>
      <c r="G36" s="143" t="s">
        <v>464</v>
      </c>
      <c r="H36" s="144">
        <v>540</v>
      </c>
      <c r="I36" s="147">
        <f>'Приложение 6'!J30</f>
        <v>325.39999999999998</v>
      </c>
      <c r="J36" s="147">
        <f>'Приложение 6'!K30</f>
        <v>325.39999999999998</v>
      </c>
      <c r="K36" s="147">
        <f>'Приложение 6'!L30</f>
        <v>322.39999999999998</v>
      </c>
    </row>
    <row r="37" spans="1:11" ht="31.5">
      <c r="A37" s="148" t="s">
        <v>465</v>
      </c>
      <c r="B37" s="143" t="s">
        <v>9</v>
      </c>
      <c r="C37" s="144" t="s">
        <v>13</v>
      </c>
      <c r="D37" s="143">
        <v>97</v>
      </c>
      <c r="E37" s="144">
        <v>2</v>
      </c>
      <c r="F37" s="143" t="s">
        <v>282</v>
      </c>
      <c r="G37" s="143" t="s">
        <v>285</v>
      </c>
      <c r="H37" s="144"/>
      <c r="I37" s="147">
        <f>I38</f>
        <v>124</v>
      </c>
      <c r="J37" s="147">
        <f>J38</f>
        <v>124</v>
      </c>
      <c r="K37" s="147">
        <f>K38</f>
        <v>124</v>
      </c>
    </row>
    <row r="38" spans="1:11" ht="15.75">
      <c r="A38" s="151" t="s">
        <v>35</v>
      </c>
      <c r="B38" s="143" t="s">
        <v>9</v>
      </c>
      <c r="C38" s="144" t="s">
        <v>13</v>
      </c>
      <c r="D38" s="143">
        <v>97</v>
      </c>
      <c r="E38" s="144">
        <v>2</v>
      </c>
      <c r="F38" s="143" t="s">
        <v>282</v>
      </c>
      <c r="G38" s="143" t="s">
        <v>285</v>
      </c>
      <c r="H38" s="144">
        <v>540</v>
      </c>
      <c r="I38" s="147">
        <f>'Приложение 6'!J32</f>
        <v>124</v>
      </c>
      <c r="J38" s="147">
        <f>'Приложение 6'!K32</f>
        <v>124</v>
      </c>
      <c r="K38" s="147">
        <f>'Приложение 6'!L32</f>
        <v>124</v>
      </c>
    </row>
    <row r="39" spans="1:11" ht="31.5">
      <c r="A39" s="148" t="s">
        <v>466</v>
      </c>
      <c r="B39" s="143" t="s">
        <v>9</v>
      </c>
      <c r="C39" s="144" t="s">
        <v>13</v>
      </c>
      <c r="D39" s="143">
        <v>97</v>
      </c>
      <c r="E39" s="144">
        <v>2</v>
      </c>
      <c r="F39" s="143" t="s">
        <v>282</v>
      </c>
      <c r="G39" s="143" t="s">
        <v>286</v>
      </c>
      <c r="H39" s="144"/>
      <c r="I39" s="147">
        <f>I40</f>
        <v>93.7</v>
      </c>
      <c r="J39" s="147">
        <f>J40</f>
        <v>93.7</v>
      </c>
      <c r="K39" s="147">
        <f>K40</f>
        <v>93.7</v>
      </c>
    </row>
    <row r="40" spans="1:11" ht="15.75">
      <c r="A40" s="151" t="s">
        <v>35</v>
      </c>
      <c r="B40" s="143" t="s">
        <v>9</v>
      </c>
      <c r="C40" s="144" t="s">
        <v>13</v>
      </c>
      <c r="D40" s="143">
        <v>97</v>
      </c>
      <c r="E40" s="144">
        <v>2</v>
      </c>
      <c r="F40" s="143" t="s">
        <v>282</v>
      </c>
      <c r="G40" s="143" t="s">
        <v>286</v>
      </c>
      <c r="H40" s="144">
        <v>540</v>
      </c>
      <c r="I40" s="147">
        <f>'Приложение 6'!J34</f>
        <v>93.7</v>
      </c>
      <c r="J40" s="147">
        <f>'Приложение 6'!K34</f>
        <v>93.7</v>
      </c>
      <c r="K40" s="147">
        <f>'Приложение 6'!L34</f>
        <v>93.7</v>
      </c>
    </row>
    <row r="41" spans="1:11" ht="47.25">
      <c r="A41" s="148" t="s">
        <v>287</v>
      </c>
      <c r="B41" s="143" t="s">
        <v>9</v>
      </c>
      <c r="C41" s="144" t="s">
        <v>13</v>
      </c>
      <c r="D41" s="143">
        <v>97</v>
      </c>
      <c r="E41" s="144">
        <v>2</v>
      </c>
      <c r="F41" s="143" t="s">
        <v>282</v>
      </c>
      <c r="G41" s="143" t="s">
        <v>288</v>
      </c>
      <c r="H41" s="144"/>
      <c r="I41" s="147">
        <f>I42</f>
        <v>154.4</v>
      </c>
      <c r="J41" s="147">
        <f>J42</f>
        <v>154.4</v>
      </c>
      <c r="K41" s="147">
        <f>K42</f>
        <v>154.4</v>
      </c>
    </row>
    <row r="42" spans="1:11" ht="15.75">
      <c r="A42" s="151" t="s">
        <v>35</v>
      </c>
      <c r="B42" s="143" t="s">
        <v>9</v>
      </c>
      <c r="C42" s="144" t="s">
        <v>13</v>
      </c>
      <c r="D42" s="143">
        <v>97</v>
      </c>
      <c r="E42" s="144">
        <v>2</v>
      </c>
      <c r="F42" s="143" t="s">
        <v>282</v>
      </c>
      <c r="G42" s="143" t="s">
        <v>288</v>
      </c>
      <c r="H42" s="144">
        <v>540</v>
      </c>
      <c r="I42" s="147">
        <f>'Приложение 6'!J36</f>
        <v>154.4</v>
      </c>
      <c r="J42" s="147">
        <f>'Приложение 6'!K36</f>
        <v>154.4</v>
      </c>
      <c r="K42" s="147">
        <f>'Приложение 6'!L36</f>
        <v>154.4</v>
      </c>
    </row>
    <row r="43" spans="1:11" ht="31.5">
      <c r="A43" s="148" t="s">
        <v>289</v>
      </c>
      <c r="B43" s="143" t="s">
        <v>9</v>
      </c>
      <c r="C43" s="143" t="s">
        <v>61</v>
      </c>
      <c r="D43" s="143"/>
      <c r="E43" s="143"/>
      <c r="F43" s="143"/>
      <c r="G43" s="143"/>
      <c r="H43" s="143"/>
      <c r="I43" s="147">
        <f>I44</f>
        <v>190.7</v>
      </c>
      <c r="J43" s="147">
        <f t="shared" ref="J43:K46" si="2">J44</f>
        <v>190.7</v>
      </c>
      <c r="K43" s="147">
        <f t="shared" si="2"/>
        <v>190.7</v>
      </c>
    </row>
    <row r="44" spans="1:11" ht="15.75">
      <c r="A44" s="148" t="s">
        <v>35</v>
      </c>
      <c r="B44" s="143" t="s">
        <v>9</v>
      </c>
      <c r="C44" s="143" t="s">
        <v>61</v>
      </c>
      <c r="D44" s="143" t="s">
        <v>57</v>
      </c>
      <c r="E44" s="143" t="s">
        <v>118</v>
      </c>
      <c r="F44" s="143" t="s">
        <v>282</v>
      </c>
      <c r="G44" s="143" t="s">
        <v>362</v>
      </c>
      <c r="H44" s="143"/>
      <c r="I44" s="147">
        <f>I45</f>
        <v>190.7</v>
      </c>
      <c r="J44" s="147">
        <f t="shared" si="2"/>
        <v>190.7</v>
      </c>
      <c r="K44" s="147">
        <f t="shared" si="2"/>
        <v>190.7</v>
      </c>
    </row>
    <row r="45" spans="1:11" ht="47.25">
      <c r="A45" s="148" t="s">
        <v>50</v>
      </c>
      <c r="B45" s="143" t="s">
        <v>9</v>
      </c>
      <c r="C45" s="143" t="s">
        <v>61</v>
      </c>
      <c r="D45" s="143" t="s">
        <v>57</v>
      </c>
      <c r="E45" s="143" t="s">
        <v>290</v>
      </c>
      <c r="F45" s="143" t="s">
        <v>282</v>
      </c>
      <c r="G45" s="143" t="s">
        <v>362</v>
      </c>
      <c r="H45" s="143"/>
      <c r="I45" s="147">
        <f>I46</f>
        <v>190.7</v>
      </c>
      <c r="J45" s="147">
        <f t="shared" si="2"/>
        <v>190.7</v>
      </c>
      <c r="K45" s="147">
        <f t="shared" si="2"/>
        <v>190.7</v>
      </c>
    </row>
    <row r="46" spans="1:11" ht="31.5">
      <c r="A46" s="148" t="s">
        <v>291</v>
      </c>
      <c r="B46" s="143" t="s">
        <v>9</v>
      </c>
      <c r="C46" s="143" t="s">
        <v>61</v>
      </c>
      <c r="D46" s="143">
        <v>97</v>
      </c>
      <c r="E46" s="144">
        <v>2</v>
      </c>
      <c r="F46" s="143" t="s">
        <v>282</v>
      </c>
      <c r="G46" s="143" t="s">
        <v>292</v>
      </c>
      <c r="H46" s="144"/>
      <c r="I46" s="147">
        <f>I47</f>
        <v>190.7</v>
      </c>
      <c r="J46" s="147">
        <f t="shared" si="2"/>
        <v>190.7</v>
      </c>
      <c r="K46" s="147">
        <f t="shared" si="2"/>
        <v>190.7</v>
      </c>
    </row>
    <row r="47" spans="1:11" ht="15.75">
      <c r="A47" s="151" t="s">
        <v>35</v>
      </c>
      <c r="B47" s="143" t="s">
        <v>9</v>
      </c>
      <c r="C47" s="143" t="s">
        <v>61</v>
      </c>
      <c r="D47" s="143">
        <v>97</v>
      </c>
      <c r="E47" s="144">
        <v>2</v>
      </c>
      <c r="F47" s="143" t="s">
        <v>282</v>
      </c>
      <c r="G47" s="143" t="s">
        <v>292</v>
      </c>
      <c r="H47" s="144">
        <v>540</v>
      </c>
      <c r="I47" s="147">
        <f>'Приложение 6'!J41</f>
        <v>190.7</v>
      </c>
      <c r="J47" s="147">
        <f>'Приложение 6'!K41</f>
        <v>190.7</v>
      </c>
      <c r="K47" s="147">
        <f>'Приложение 6'!L41</f>
        <v>190.7</v>
      </c>
    </row>
    <row r="48" spans="1:11" ht="15.75">
      <c r="A48" s="146" t="s">
        <v>0</v>
      </c>
      <c r="B48" s="143" t="s">
        <v>9</v>
      </c>
      <c r="C48" s="144">
        <v>11</v>
      </c>
      <c r="D48" s="143"/>
      <c r="E48" s="144"/>
      <c r="F48" s="143"/>
      <c r="G48" s="143"/>
      <c r="H48" s="144" t="s">
        <v>6</v>
      </c>
      <c r="I48" s="145">
        <f>I49</f>
        <v>60</v>
      </c>
      <c r="J48" s="145">
        <f t="shared" ref="J48:K51" si="3">J49</f>
        <v>9.9</v>
      </c>
      <c r="K48" s="145">
        <f t="shared" si="3"/>
        <v>0</v>
      </c>
    </row>
    <row r="49" spans="1:11" ht="15.75">
      <c r="A49" s="146" t="s">
        <v>0</v>
      </c>
      <c r="B49" s="143" t="s">
        <v>9</v>
      </c>
      <c r="C49" s="144">
        <v>11</v>
      </c>
      <c r="D49" s="143">
        <v>94</v>
      </c>
      <c r="E49" s="144">
        <v>0</v>
      </c>
      <c r="F49" s="143" t="s">
        <v>282</v>
      </c>
      <c r="G49" s="143" t="s">
        <v>362</v>
      </c>
      <c r="H49" s="144"/>
      <c r="I49" s="145">
        <f>I50</f>
        <v>60</v>
      </c>
      <c r="J49" s="145">
        <f t="shared" si="3"/>
        <v>9.9</v>
      </c>
      <c r="K49" s="145">
        <f t="shared" si="3"/>
        <v>0</v>
      </c>
    </row>
    <row r="50" spans="1:11" ht="15.75">
      <c r="A50" s="146" t="s">
        <v>1</v>
      </c>
      <c r="B50" s="143" t="s">
        <v>9</v>
      </c>
      <c r="C50" s="144">
        <v>11</v>
      </c>
      <c r="D50" s="143">
        <v>94</v>
      </c>
      <c r="E50" s="144">
        <v>1</v>
      </c>
      <c r="F50" s="143" t="s">
        <v>282</v>
      </c>
      <c r="G50" s="143" t="s">
        <v>362</v>
      </c>
      <c r="H50" s="144" t="s">
        <v>6</v>
      </c>
      <c r="I50" s="145">
        <f>I51</f>
        <v>60</v>
      </c>
      <c r="J50" s="145">
        <f t="shared" si="3"/>
        <v>9.9</v>
      </c>
      <c r="K50" s="145">
        <f t="shared" si="3"/>
        <v>0</v>
      </c>
    </row>
    <row r="51" spans="1:11" ht="15.75">
      <c r="A51" s="146" t="s">
        <v>1</v>
      </c>
      <c r="B51" s="143" t="s">
        <v>9</v>
      </c>
      <c r="C51" s="144">
        <v>11</v>
      </c>
      <c r="D51" s="143">
        <v>94</v>
      </c>
      <c r="E51" s="144">
        <v>1</v>
      </c>
      <c r="F51" s="143" t="s">
        <v>282</v>
      </c>
      <c r="G51" s="143" t="s">
        <v>293</v>
      </c>
      <c r="H51" s="144"/>
      <c r="I51" s="145">
        <f>I52</f>
        <v>60</v>
      </c>
      <c r="J51" s="145">
        <f t="shared" si="3"/>
        <v>9.9</v>
      </c>
      <c r="K51" s="145">
        <f t="shared" si="3"/>
        <v>0</v>
      </c>
    </row>
    <row r="52" spans="1:11" ht="15.75">
      <c r="A52" s="146" t="s">
        <v>109</v>
      </c>
      <c r="B52" s="143" t="s">
        <v>9</v>
      </c>
      <c r="C52" s="144">
        <v>11</v>
      </c>
      <c r="D52" s="143">
        <v>94</v>
      </c>
      <c r="E52" s="144">
        <v>1</v>
      </c>
      <c r="F52" s="143" t="s">
        <v>282</v>
      </c>
      <c r="G52" s="143" t="s">
        <v>293</v>
      </c>
      <c r="H52" s="143" t="s">
        <v>108</v>
      </c>
      <c r="I52" s="145">
        <f>'Приложение 6'!J46</f>
        <v>60</v>
      </c>
      <c r="J52" s="145">
        <f>'Приложение 6'!K46</f>
        <v>9.9</v>
      </c>
      <c r="K52" s="145">
        <f>'Приложение 6'!L46</f>
        <v>0</v>
      </c>
    </row>
    <row r="53" spans="1:11" ht="15.75">
      <c r="A53" s="146" t="s">
        <v>19</v>
      </c>
      <c r="B53" s="143" t="s">
        <v>9</v>
      </c>
      <c r="C53" s="144">
        <v>13</v>
      </c>
      <c r="D53" s="143"/>
      <c r="E53" s="144"/>
      <c r="F53" s="143"/>
      <c r="G53" s="143"/>
      <c r="H53" s="144"/>
      <c r="I53" s="147">
        <f>I54+I65+I82+I89+I93+I97+I100+I104</f>
        <v>12927.599999999999</v>
      </c>
      <c r="J53" s="147">
        <f>J54+J65+J82+J89+J93+J97+J100+J104</f>
        <v>12927.599999999999</v>
      </c>
      <c r="K53" s="147">
        <f>K54+K65+K82+K89+K93+K97+K100+K104</f>
        <v>6828.2</v>
      </c>
    </row>
    <row r="54" spans="1:11" ht="31.5">
      <c r="A54" s="146" t="s">
        <v>53</v>
      </c>
      <c r="B54" s="143" t="s">
        <v>9</v>
      </c>
      <c r="C54" s="144">
        <v>13</v>
      </c>
      <c r="D54" s="143" t="s">
        <v>9</v>
      </c>
      <c r="E54" s="144">
        <v>0</v>
      </c>
      <c r="F54" s="143" t="s">
        <v>282</v>
      </c>
      <c r="G54" s="143" t="s">
        <v>362</v>
      </c>
      <c r="H54" s="144"/>
      <c r="I54" s="147">
        <f>I55+I62</f>
        <v>9208.7999999999993</v>
      </c>
      <c r="J54" s="147">
        <f>J55+J62</f>
        <v>9108.7999999999993</v>
      </c>
      <c r="K54" s="147">
        <f>K55+K62</f>
        <v>3385</v>
      </c>
    </row>
    <row r="55" spans="1:11" ht="15.75">
      <c r="A55" s="146" t="s">
        <v>88</v>
      </c>
      <c r="B55" s="143" t="s">
        <v>9</v>
      </c>
      <c r="C55" s="144">
        <v>13</v>
      </c>
      <c r="D55" s="143" t="s">
        <v>9</v>
      </c>
      <c r="E55" s="144">
        <v>1</v>
      </c>
      <c r="F55" s="143" t="s">
        <v>282</v>
      </c>
      <c r="G55" s="143" t="s">
        <v>362</v>
      </c>
      <c r="H55" s="144"/>
      <c r="I55" s="147">
        <f>I56+I58+I60</f>
        <v>8818.0999999999985</v>
      </c>
      <c r="J55" s="147">
        <f>J56+J58+J60</f>
        <v>8653</v>
      </c>
      <c r="K55" s="147">
        <f>K56+K58+K60</f>
        <v>2936.1</v>
      </c>
    </row>
    <row r="56" spans="1:11" ht="15.75">
      <c r="A56" s="148" t="s">
        <v>52</v>
      </c>
      <c r="B56" s="143" t="s">
        <v>9</v>
      </c>
      <c r="C56" s="144">
        <v>13</v>
      </c>
      <c r="D56" s="143" t="s">
        <v>9</v>
      </c>
      <c r="E56" s="144">
        <v>1</v>
      </c>
      <c r="F56" s="143" t="s">
        <v>282</v>
      </c>
      <c r="G56" s="143" t="s">
        <v>294</v>
      </c>
      <c r="H56" s="144"/>
      <c r="I56" s="147">
        <f>I57</f>
        <v>5952.9</v>
      </c>
      <c r="J56" s="147">
        <f>J57</f>
        <v>5900.4</v>
      </c>
      <c r="K56" s="147">
        <f>K57</f>
        <v>2720</v>
      </c>
    </row>
    <row r="57" spans="1:11" ht="31.5">
      <c r="A57" s="148" t="s">
        <v>127</v>
      </c>
      <c r="B57" s="143" t="s">
        <v>9</v>
      </c>
      <c r="C57" s="144">
        <v>13</v>
      </c>
      <c r="D57" s="143" t="s">
        <v>9</v>
      </c>
      <c r="E57" s="144">
        <v>1</v>
      </c>
      <c r="F57" s="143" t="s">
        <v>282</v>
      </c>
      <c r="G57" s="143" t="s">
        <v>294</v>
      </c>
      <c r="H57" s="144">
        <v>240</v>
      </c>
      <c r="I57" s="147">
        <f>'Приложение 6'!J51</f>
        <v>5952.9</v>
      </c>
      <c r="J57" s="147">
        <f>'Приложение 6'!K51</f>
        <v>5900.4</v>
      </c>
      <c r="K57" s="147">
        <f>'Приложение 6'!L51</f>
        <v>2720</v>
      </c>
    </row>
    <row r="58" spans="1:11" ht="15.75">
      <c r="A58" s="148" t="s">
        <v>295</v>
      </c>
      <c r="B58" s="143" t="s">
        <v>9</v>
      </c>
      <c r="C58" s="144">
        <v>13</v>
      </c>
      <c r="D58" s="143" t="s">
        <v>9</v>
      </c>
      <c r="E58" s="144">
        <v>1</v>
      </c>
      <c r="F58" s="143" t="s">
        <v>282</v>
      </c>
      <c r="G58" s="143" t="s">
        <v>296</v>
      </c>
      <c r="H58" s="144"/>
      <c r="I58" s="147">
        <f>I59</f>
        <v>2740.4</v>
      </c>
      <c r="J58" s="147">
        <f>J59</f>
        <v>2740.4</v>
      </c>
      <c r="K58" s="147">
        <f>K59</f>
        <v>204</v>
      </c>
    </row>
    <row r="59" spans="1:11" ht="31.5">
      <c r="A59" s="148" t="s">
        <v>127</v>
      </c>
      <c r="B59" s="143" t="s">
        <v>9</v>
      </c>
      <c r="C59" s="144">
        <v>13</v>
      </c>
      <c r="D59" s="143" t="s">
        <v>9</v>
      </c>
      <c r="E59" s="144">
        <v>1</v>
      </c>
      <c r="F59" s="143" t="s">
        <v>282</v>
      </c>
      <c r="G59" s="143" t="s">
        <v>296</v>
      </c>
      <c r="H59" s="144">
        <v>240</v>
      </c>
      <c r="I59" s="147">
        <f>'Приложение 6'!J53</f>
        <v>2740.4</v>
      </c>
      <c r="J59" s="147">
        <f>'Приложение 6'!K53</f>
        <v>2740.4</v>
      </c>
      <c r="K59" s="147">
        <f>'Приложение 6'!L53</f>
        <v>204</v>
      </c>
    </row>
    <row r="60" spans="1:11" ht="15.75">
      <c r="A60" s="148" t="s">
        <v>363</v>
      </c>
      <c r="B60" s="143" t="s">
        <v>9</v>
      </c>
      <c r="C60" s="144">
        <v>13</v>
      </c>
      <c r="D60" s="143" t="s">
        <v>9</v>
      </c>
      <c r="E60" s="144">
        <v>1</v>
      </c>
      <c r="F60" s="143" t="s">
        <v>282</v>
      </c>
      <c r="G60" s="143" t="s">
        <v>364</v>
      </c>
      <c r="H60" s="144"/>
      <c r="I60" s="147">
        <f>I61</f>
        <v>124.80000000000001</v>
      </c>
      <c r="J60" s="147">
        <f>J61</f>
        <v>12.2</v>
      </c>
      <c r="K60" s="147">
        <f>K61</f>
        <v>12.1</v>
      </c>
    </row>
    <row r="61" spans="1:11" ht="31.5">
      <c r="A61" s="148" t="s">
        <v>127</v>
      </c>
      <c r="B61" s="143" t="s">
        <v>9</v>
      </c>
      <c r="C61" s="144">
        <v>13</v>
      </c>
      <c r="D61" s="143" t="s">
        <v>9</v>
      </c>
      <c r="E61" s="144">
        <v>1</v>
      </c>
      <c r="F61" s="143" t="s">
        <v>282</v>
      </c>
      <c r="G61" s="143" t="s">
        <v>364</v>
      </c>
      <c r="H61" s="144">
        <v>240</v>
      </c>
      <c r="I61" s="147">
        <f>'Приложение 6'!J55</f>
        <v>124.80000000000001</v>
      </c>
      <c r="J61" s="147">
        <f>'Приложение 6'!K55</f>
        <v>12.2</v>
      </c>
      <c r="K61" s="147">
        <f>'Приложение 6'!L55</f>
        <v>12.1</v>
      </c>
    </row>
    <row r="62" spans="1:11" ht="31.5">
      <c r="A62" s="148" t="s">
        <v>100</v>
      </c>
      <c r="B62" s="143" t="s">
        <v>9</v>
      </c>
      <c r="C62" s="144">
        <v>13</v>
      </c>
      <c r="D62" s="143" t="s">
        <v>9</v>
      </c>
      <c r="E62" s="144">
        <v>2</v>
      </c>
      <c r="F62" s="143" t="s">
        <v>282</v>
      </c>
      <c r="G62" s="143" t="s">
        <v>362</v>
      </c>
      <c r="H62" s="144"/>
      <c r="I62" s="147">
        <f t="shared" ref="I62:K63" si="4">I63</f>
        <v>390.70000000000005</v>
      </c>
      <c r="J62" s="147">
        <f t="shared" si="4"/>
        <v>455.8</v>
      </c>
      <c r="K62" s="147">
        <f t="shared" si="4"/>
        <v>448.9</v>
      </c>
    </row>
    <row r="63" spans="1:11" ht="15.75">
      <c r="A63" s="148" t="s">
        <v>101</v>
      </c>
      <c r="B63" s="143" t="s">
        <v>9</v>
      </c>
      <c r="C63" s="144">
        <v>13</v>
      </c>
      <c r="D63" s="143" t="s">
        <v>9</v>
      </c>
      <c r="E63" s="144">
        <v>2</v>
      </c>
      <c r="F63" s="143" t="s">
        <v>282</v>
      </c>
      <c r="G63" s="143" t="s">
        <v>297</v>
      </c>
      <c r="H63" s="144"/>
      <c r="I63" s="147">
        <f t="shared" si="4"/>
        <v>390.70000000000005</v>
      </c>
      <c r="J63" s="147">
        <f t="shared" si="4"/>
        <v>455.8</v>
      </c>
      <c r="K63" s="147">
        <f t="shared" si="4"/>
        <v>448.9</v>
      </c>
    </row>
    <row r="64" spans="1:11" ht="31.5">
      <c r="A64" s="148" t="s">
        <v>127</v>
      </c>
      <c r="B64" s="143" t="s">
        <v>9</v>
      </c>
      <c r="C64" s="144">
        <v>13</v>
      </c>
      <c r="D64" s="143" t="s">
        <v>9</v>
      </c>
      <c r="E64" s="144">
        <v>2</v>
      </c>
      <c r="F64" s="143" t="s">
        <v>282</v>
      </c>
      <c r="G64" s="143" t="s">
        <v>297</v>
      </c>
      <c r="H64" s="144">
        <v>240</v>
      </c>
      <c r="I64" s="147">
        <f>'Приложение 6'!J58</f>
        <v>390.70000000000005</v>
      </c>
      <c r="J64" s="147">
        <f>'Приложение 6'!K58</f>
        <v>455.8</v>
      </c>
      <c r="K64" s="147">
        <f>'Приложение 6'!L58</f>
        <v>448.9</v>
      </c>
    </row>
    <row r="65" spans="1:11" ht="31.5">
      <c r="A65" s="146" t="s">
        <v>122</v>
      </c>
      <c r="B65" s="143" t="s">
        <v>9</v>
      </c>
      <c r="C65" s="144">
        <v>13</v>
      </c>
      <c r="D65" s="143" t="s">
        <v>16</v>
      </c>
      <c r="E65" s="144">
        <v>0</v>
      </c>
      <c r="F65" s="143" t="s">
        <v>282</v>
      </c>
      <c r="G65" s="143" t="s">
        <v>362</v>
      </c>
      <c r="H65" s="144"/>
      <c r="I65" s="147">
        <f>I66</f>
        <v>754.09999999999991</v>
      </c>
      <c r="J65" s="147">
        <f>J66</f>
        <v>754.09999999999991</v>
      </c>
      <c r="K65" s="147">
        <f>K66</f>
        <v>621.20000000000005</v>
      </c>
    </row>
    <row r="66" spans="1:11" ht="31.5">
      <c r="A66" s="146" t="s">
        <v>114</v>
      </c>
      <c r="B66" s="143" t="s">
        <v>9</v>
      </c>
      <c r="C66" s="144">
        <v>13</v>
      </c>
      <c r="D66" s="143" t="s">
        <v>16</v>
      </c>
      <c r="E66" s="144">
        <v>1</v>
      </c>
      <c r="F66" s="143" t="s">
        <v>282</v>
      </c>
      <c r="G66" s="143" t="s">
        <v>362</v>
      </c>
      <c r="H66" s="144"/>
      <c r="I66" s="147">
        <f>I67+I70+I73+I76+I79</f>
        <v>754.09999999999991</v>
      </c>
      <c r="J66" s="147">
        <f>J67+J70+J73+J76+J79</f>
        <v>754.09999999999991</v>
      </c>
      <c r="K66" s="147">
        <f>K67+K70+K73+K76+K79</f>
        <v>621.20000000000005</v>
      </c>
    </row>
    <row r="67" spans="1:11" ht="15.75">
      <c r="A67" s="146" t="s">
        <v>298</v>
      </c>
      <c r="B67" s="143" t="s">
        <v>9</v>
      </c>
      <c r="C67" s="144">
        <v>13</v>
      </c>
      <c r="D67" s="143" t="s">
        <v>16</v>
      </c>
      <c r="E67" s="144">
        <v>1</v>
      </c>
      <c r="F67" s="143" t="s">
        <v>9</v>
      </c>
      <c r="G67" s="143" t="s">
        <v>362</v>
      </c>
      <c r="H67" s="144"/>
      <c r="I67" s="147">
        <f t="shared" ref="I67:K68" si="5">I68</f>
        <v>355</v>
      </c>
      <c r="J67" s="147">
        <f t="shared" si="5"/>
        <v>115</v>
      </c>
      <c r="K67" s="147">
        <f t="shared" si="5"/>
        <v>37.9</v>
      </c>
    </row>
    <row r="68" spans="1:11" ht="31.5">
      <c r="A68" s="148" t="s">
        <v>115</v>
      </c>
      <c r="B68" s="143" t="s">
        <v>9</v>
      </c>
      <c r="C68" s="143" t="s">
        <v>113</v>
      </c>
      <c r="D68" s="143" t="s">
        <v>16</v>
      </c>
      <c r="E68" s="143" t="s">
        <v>116</v>
      </c>
      <c r="F68" s="143" t="s">
        <v>9</v>
      </c>
      <c r="G68" s="143" t="s">
        <v>299</v>
      </c>
      <c r="H68" s="143"/>
      <c r="I68" s="147">
        <f t="shared" si="5"/>
        <v>355</v>
      </c>
      <c r="J68" s="147">
        <f t="shared" si="5"/>
        <v>115</v>
      </c>
      <c r="K68" s="147">
        <f t="shared" si="5"/>
        <v>37.9</v>
      </c>
    </row>
    <row r="69" spans="1:11" ht="31.5">
      <c r="A69" s="148" t="s">
        <v>127</v>
      </c>
      <c r="B69" s="143" t="s">
        <v>9</v>
      </c>
      <c r="C69" s="143" t="s">
        <v>113</v>
      </c>
      <c r="D69" s="143" t="s">
        <v>16</v>
      </c>
      <c r="E69" s="143" t="s">
        <v>116</v>
      </c>
      <c r="F69" s="143" t="s">
        <v>9</v>
      </c>
      <c r="G69" s="143" t="s">
        <v>299</v>
      </c>
      <c r="H69" s="143" t="s">
        <v>117</v>
      </c>
      <c r="I69" s="147">
        <f>'Приложение 6'!J63</f>
        <v>355</v>
      </c>
      <c r="J69" s="147">
        <f>'Приложение 6'!K63</f>
        <v>115</v>
      </c>
      <c r="K69" s="147">
        <f>'Приложение 6'!L63</f>
        <v>37.9</v>
      </c>
    </row>
    <row r="70" spans="1:11" ht="15.75">
      <c r="A70" s="146" t="s">
        <v>300</v>
      </c>
      <c r="B70" s="143" t="s">
        <v>9</v>
      </c>
      <c r="C70" s="144">
        <v>13</v>
      </c>
      <c r="D70" s="143" t="s">
        <v>16</v>
      </c>
      <c r="E70" s="144">
        <v>1</v>
      </c>
      <c r="F70" s="143" t="s">
        <v>11</v>
      </c>
      <c r="G70" s="143" t="s">
        <v>362</v>
      </c>
      <c r="H70" s="144"/>
      <c r="I70" s="147">
        <f t="shared" ref="I70:K71" si="6">I71</f>
        <v>35</v>
      </c>
      <c r="J70" s="147">
        <f t="shared" si="6"/>
        <v>35</v>
      </c>
      <c r="K70" s="147">
        <f t="shared" si="6"/>
        <v>35</v>
      </c>
    </row>
    <row r="71" spans="1:11" ht="31.5">
      <c r="A71" s="148" t="s">
        <v>115</v>
      </c>
      <c r="B71" s="143" t="s">
        <v>9</v>
      </c>
      <c r="C71" s="143" t="s">
        <v>113</v>
      </c>
      <c r="D71" s="143" t="s">
        <v>16</v>
      </c>
      <c r="E71" s="143" t="s">
        <v>116</v>
      </c>
      <c r="F71" s="143" t="s">
        <v>11</v>
      </c>
      <c r="G71" s="143" t="s">
        <v>299</v>
      </c>
      <c r="H71" s="143"/>
      <c r="I71" s="147">
        <f t="shared" si="6"/>
        <v>35</v>
      </c>
      <c r="J71" s="147">
        <f t="shared" si="6"/>
        <v>35</v>
      </c>
      <c r="K71" s="147">
        <f t="shared" si="6"/>
        <v>35</v>
      </c>
    </row>
    <row r="72" spans="1:11" ht="31.5">
      <c r="A72" s="148" t="s">
        <v>127</v>
      </c>
      <c r="B72" s="143" t="s">
        <v>9</v>
      </c>
      <c r="C72" s="143" t="s">
        <v>113</v>
      </c>
      <c r="D72" s="143" t="s">
        <v>16</v>
      </c>
      <c r="E72" s="143" t="s">
        <v>116</v>
      </c>
      <c r="F72" s="143" t="s">
        <v>11</v>
      </c>
      <c r="G72" s="143" t="s">
        <v>299</v>
      </c>
      <c r="H72" s="143" t="s">
        <v>117</v>
      </c>
      <c r="I72" s="147">
        <f>'Приложение 6'!J66</f>
        <v>35</v>
      </c>
      <c r="J72" s="147">
        <f>'Приложение 6'!K66</f>
        <v>35</v>
      </c>
      <c r="K72" s="147">
        <f>'Приложение 6'!L66</f>
        <v>35</v>
      </c>
    </row>
    <row r="73" spans="1:11" ht="15.75">
      <c r="A73" s="146" t="s">
        <v>301</v>
      </c>
      <c r="B73" s="143" t="s">
        <v>9</v>
      </c>
      <c r="C73" s="144">
        <v>13</v>
      </c>
      <c r="D73" s="143" t="s">
        <v>16</v>
      </c>
      <c r="E73" s="144">
        <v>1</v>
      </c>
      <c r="F73" s="143" t="s">
        <v>10</v>
      </c>
      <c r="G73" s="143" t="s">
        <v>362</v>
      </c>
      <c r="H73" s="144"/>
      <c r="I73" s="147">
        <f t="shared" ref="I73:K74" si="7">I74</f>
        <v>277.29999999999995</v>
      </c>
      <c r="J73" s="147">
        <f t="shared" si="7"/>
        <v>517.29999999999995</v>
      </c>
      <c r="K73" s="147">
        <f t="shared" si="7"/>
        <v>465.6</v>
      </c>
    </row>
    <row r="74" spans="1:11" ht="31.5">
      <c r="A74" s="148" t="s">
        <v>115</v>
      </c>
      <c r="B74" s="143" t="s">
        <v>9</v>
      </c>
      <c r="C74" s="143" t="s">
        <v>113</v>
      </c>
      <c r="D74" s="143" t="s">
        <v>16</v>
      </c>
      <c r="E74" s="143" t="s">
        <v>116</v>
      </c>
      <c r="F74" s="143" t="s">
        <v>10</v>
      </c>
      <c r="G74" s="143" t="s">
        <v>299</v>
      </c>
      <c r="H74" s="143"/>
      <c r="I74" s="147">
        <f t="shared" si="7"/>
        <v>277.29999999999995</v>
      </c>
      <c r="J74" s="147">
        <f t="shared" si="7"/>
        <v>517.29999999999995</v>
      </c>
      <c r="K74" s="147">
        <f t="shared" si="7"/>
        <v>465.6</v>
      </c>
    </row>
    <row r="75" spans="1:11" ht="31.5">
      <c r="A75" s="148" t="s">
        <v>127</v>
      </c>
      <c r="B75" s="143" t="s">
        <v>9</v>
      </c>
      <c r="C75" s="143" t="s">
        <v>113</v>
      </c>
      <c r="D75" s="143" t="s">
        <v>16</v>
      </c>
      <c r="E75" s="143" t="s">
        <v>116</v>
      </c>
      <c r="F75" s="143" t="s">
        <v>10</v>
      </c>
      <c r="G75" s="143" t="s">
        <v>299</v>
      </c>
      <c r="H75" s="143" t="s">
        <v>117</v>
      </c>
      <c r="I75" s="147">
        <f>'Приложение 6'!J69</f>
        <v>277.29999999999995</v>
      </c>
      <c r="J75" s="147">
        <f>'Приложение 6'!K69</f>
        <v>517.29999999999995</v>
      </c>
      <c r="K75" s="147">
        <f>'Приложение 6'!L69</f>
        <v>465.6</v>
      </c>
    </row>
    <row r="76" spans="1:11" ht="15.75">
      <c r="A76" s="146" t="s">
        <v>365</v>
      </c>
      <c r="B76" s="143" t="s">
        <v>9</v>
      </c>
      <c r="C76" s="144">
        <v>13</v>
      </c>
      <c r="D76" s="143" t="s">
        <v>16</v>
      </c>
      <c r="E76" s="144">
        <v>1</v>
      </c>
      <c r="F76" s="143" t="s">
        <v>13</v>
      </c>
      <c r="G76" s="143" t="s">
        <v>362</v>
      </c>
      <c r="H76" s="144"/>
      <c r="I76" s="147">
        <f t="shared" ref="I76:K77" si="8">I77</f>
        <v>46.8</v>
      </c>
      <c r="J76" s="147">
        <f t="shared" si="8"/>
        <v>46.8</v>
      </c>
      <c r="K76" s="147">
        <f t="shared" si="8"/>
        <v>43.2</v>
      </c>
    </row>
    <row r="77" spans="1:11" ht="31.5">
      <c r="A77" s="148" t="s">
        <v>115</v>
      </c>
      <c r="B77" s="143" t="s">
        <v>9</v>
      </c>
      <c r="C77" s="143" t="s">
        <v>113</v>
      </c>
      <c r="D77" s="143" t="s">
        <v>16</v>
      </c>
      <c r="E77" s="143" t="s">
        <v>116</v>
      </c>
      <c r="F77" s="143" t="s">
        <v>13</v>
      </c>
      <c r="G77" s="143" t="s">
        <v>299</v>
      </c>
      <c r="H77" s="143"/>
      <c r="I77" s="147">
        <f t="shared" si="8"/>
        <v>46.8</v>
      </c>
      <c r="J77" s="147">
        <f t="shared" si="8"/>
        <v>46.8</v>
      </c>
      <c r="K77" s="147">
        <f t="shared" si="8"/>
        <v>43.2</v>
      </c>
    </row>
    <row r="78" spans="1:11" ht="31.5">
      <c r="A78" s="148" t="s">
        <v>127</v>
      </c>
      <c r="B78" s="143" t="s">
        <v>9</v>
      </c>
      <c r="C78" s="143" t="s">
        <v>113</v>
      </c>
      <c r="D78" s="143" t="s">
        <v>16</v>
      </c>
      <c r="E78" s="143" t="s">
        <v>116</v>
      </c>
      <c r="F78" s="143" t="s">
        <v>13</v>
      </c>
      <c r="G78" s="143" t="s">
        <v>299</v>
      </c>
      <c r="H78" s="143" t="s">
        <v>117</v>
      </c>
      <c r="I78" s="147">
        <f>'Приложение 6'!J72</f>
        <v>46.8</v>
      </c>
      <c r="J78" s="147">
        <f>'Приложение 6'!K72</f>
        <v>46.8</v>
      </c>
      <c r="K78" s="147">
        <f>'Приложение 6'!L72</f>
        <v>43.2</v>
      </c>
    </row>
    <row r="79" spans="1:11" ht="15.75">
      <c r="A79" s="146" t="s">
        <v>302</v>
      </c>
      <c r="B79" s="143" t="s">
        <v>9</v>
      </c>
      <c r="C79" s="144">
        <v>13</v>
      </c>
      <c r="D79" s="143" t="s">
        <v>16</v>
      </c>
      <c r="E79" s="144">
        <v>1</v>
      </c>
      <c r="F79" s="143" t="s">
        <v>61</v>
      </c>
      <c r="G79" s="143" t="s">
        <v>362</v>
      </c>
      <c r="H79" s="144"/>
      <c r="I79" s="147">
        <f t="shared" ref="I79:K80" si="9">I80</f>
        <v>40</v>
      </c>
      <c r="J79" s="147">
        <f t="shared" si="9"/>
        <v>40</v>
      </c>
      <c r="K79" s="147">
        <f t="shared" si="9"/>
        <v>39.5</v>
      </c>
    </row>
    <row r="80" spans="1:11" ht="31.5">
      <c r="A80" s="148" t="s">
        <v>115</v>
      </c>
      <c r="B80" s="143" t="s">
        <v>9</v>
      </c>
      <c r="C80" s="143" t="s">
        <v>113</v>
      </c>
      <c r="D80" s="143" t="s">
        <v>16</v>
      </c>
      <c r="E80" s="143" t="s">
        <v>116</v>
      </c>
      <c r="F80" s="143" t="s">
        <v>61</v>
      </c>
      <c r="G80" s="143" t="s">
        <v>299</v>
      </c>
      <c r="H80" s="143"/>
      <c r="I80" s="147">
        <f t="shared" si="9"/>
        <v>40</v>
      </c>
      <c r="J80" s="147">
        <f t="shared" si="9"/>
        <v>40</v>
      </c>
      <c r="K80" s="147">
        <f t="shared" si="9"/>
        <v>39.5</v>
      </c>
    </row>
    <row r="81" spans="1:11" ht="31.5">
      <c r="A81" s="148" t="s">
        <v>127</v>
      </c>
      <c r="B81" s="143" t="s">
        <v>9</v>
      </c>
      <c r="C81" s="143" t="s">
        <v>113</v>
      </c>
      <c r="D81" s="143" t="s">
        <v>16</v>
      </c>
      <c r="E81" s="143" t="s">
        <v>116</v>
      </c>
      <c r="F81" s="143" t="s">
        <v>61</v>
      </c>
      <c r="G81" s="143" t="s">
        <v>299</v>
      </c>
      <c r="H81" s="143" t="s">
        <v>117</v>
      </c>
      <c r="I81" s="147">
        <f>'Приложение 6'!J75</f>
        <v>40</v>
      </c>
      <c r="J81" s="147">
        <f>'Приложение 6'!K75</f>
        <v>40</v>
      </c>
      <c r="K81" s="147">
        <f>'Приложение 6'!L75</f>
        <v>39.5</v>
      </c>
    </row>
    <row r="82" spans="1:11" ht="31.5">
      <c r="A82" s="146" t="s">
        <v>467</v>
      </c>
      <c r="B82" s="143" t="s">
        <v>9</v>
      </c>
      <c r="C82" s="144">
        <v>13</v>
      </c>
      <c r="D82" s="143" t="s">
        <v>17</v>
      </c>
      <c r="E82" s="144">
        <v>0</v>
      </c>
      <c r="F82" s="143" t="s">
        <v>282</v>
      </c>
      <c r="G82" s="143" t="s">
        <v>362</v>
      </c>
      <c r="H82" s="144"/>
      <c r="I82" s="147">
        <f>I83</f>
        <v>24.8</v>
      </c>
      <c r="J82" s="147">
        <f>J83</f>
        <v>24.8</v>
      </c>
      <c r="K82" s="147">
        <f>K83</f>
        <v>20.9</v>
      </c>
    </row>
    <row r="83" spans="1:11" ht="31.5">
      <c r="A83" s="146" t="s">
        <v>123</v>
      </c>
      <c r="B83" s="143" t="s">
        <v>9</v>
      </c>
      <c r="C83" s="144">
        <v>13</v>
      </c>
      <c r="D83" s="143" t="s">
        <v>17</v>
      </c>
      <c r="E83" s="144">
        <v>0</v>
      </c>
      <c r="F83" s="143" t="s">
        <v>282</v>
      </c>
      <c r="G83" s="143" t="s">
        <v>362</v>
      </c>
      <c r="H83" s="144"/>
      <c r="I83" s="147">
        <f>I84+I87</f>
        <v>24.8</v>
      </c>
      <c r="J83" s="147">
        <f>J84+J87</f>
        <v>24.8</v>
      </c>
      <c r="K83" s="147">
        <f>K84+K87</f>
        <v>20.9</v>
      </c>
    </row>
    <row r="84" spans="1:11" ht="31.5">
      <c r="A84" s="148" t="s">
        <v>119</v>
      </c>
      <c r="B84" s="143" t="s">
        <v>9</v>
      </c>
      <c r="C84" s="143" t="s">
        <v>113</v>
      </c>
      <c r="D84" s="143" t="s">
        <v>17</v>
      </c>
      <c r="E84" s="143" t="s">
        <v>118</v>
      </c>
      <c r="F84" s="143" t="s">
        <v>282</v>
      </c>
      <c r="G84" s="143" t="s">
        <v>303</v>
      </c>
      <c r="H84" s="143"/>
      <c r="I84" s="147">
        <f>SUM(I85:I86)</f>
        <v>20.3</v>
      </c>
      <c r="J84" s="147">
        <f>SUM(J85:J86)</f>
        <v>20.3</v>
      </c>
      <c r="K84" s="147">
        <f>SUM(K85:K86)</f>
        <v>16.399999999999999</v>
      </c>
    </row>
    <row r="85" spans="1:11" ht="31.5">
      <c r="A85" s="148" t="s">
        <v>127</v>
      </c>
      <c r="B85" s="143" t="s">
        <v>9</v>
      </c>
      <c r="C85" s="143" t="s">
        <v>113</v>
      </c>
      <c r="D85" s="143" t="s">
        <v>17</v>
      </c>
      <c r="E85" s="143" t="s">
        <v>118</v>
      </c>
      <c r="F85" s="143" t="s">
        <v>282</v>
      </c>
      <c r="G85" s="143" t="s">
        <v>303</v>
      </c>
      <c r="H85" s="143" t="s">
        <v>117</v>
      </c>
      <c r="I85" s="147">
        <f>'Приложение 6'!J79</f>
        <v>5</v>
      </c>
      <c r="J85" s="147">
        <f>'Приложение 6'!K79</f>
        <v>5</v>
      </c>
      <c r="K85" s="147">
        <f>'Приложение 6'!L79</f>
        <v>5</v>
      </c>
    </row>
    <row r="86" spans="1:11" ht="15.75">
      <c r="A86" s="148" t="s">
        <v>531</v>
      </c>
      <c r="B86" s="143" t="s">
        <v>9</v>
      </c>
      <c r="C86" s="143" t="s">
        <v>113</v>
      </c>
      <c r="D86" s="143" t="s">
        <v>17</v>
      </c>
      <c r="E86" s="143" t="s">
        <v>118</v>
      </c>
      <c r="F86" s="143" t="s">
        <v>282</v>
      </c>
      <c r="G86" s="143" t="s">
        <v>303</v>
      </c>
      <c r="H86" s="143" t="s">
        <v>532</v>
      </c>
      <c r="I86" s="147">
        <f>'Приложение 6'!J80</f>
        <v>15.3</v>
      </c>
      <c r="J86" s="147">
        <f>'Приложение 6'!K80</f>
        <v>15.3</v>
      </c>
      <c r="K86" s="147">
        <f>'Приложение 6'!L80</f>
        <v>11.4</v>
      </c>
    </row>
    <row r="87" spans="1:11" ht="31.5">
      <c r="A87" s="148" t="s">
        <v>498</v>
      </c>
      <c r="B87" s="143" t="s">
        <v>9</v>
      </c>
      <c r="C87" s="143" t="s">
        <v>113</v>
      </c>
      <c r="D87" s="143" t="s">
        <v>17</v>
      </c>
      <c r="E87" s="143" t="s">
        <v>118</v>
      </c>
      <c r="F87" s="143" t="s">
        <v>282</v>
      </c>
      <c r="G87" s="143" t="s">
        <v>533</v>
      </c>
      <c r="H87" s="143"/>
      <c r="I87" s="147">
        <f>I88</f>
        <v>4.5</v>
      </c>
      <c r="J87" s="147">
        <f>J88</f>
        <v>4.5</v>
      </c>
      <c r="K87" s="147">
        <f>K88</f>
        <v>4.5</v>
      </c>
    </row>
    <row r="88" spans="1:11" ht="31.5">
      <c r="A88" s="148" t="s">
        <v>531</v>
      </c>
      <c r="B88" s="143" t="s">
        <v>9</v>
      </c>
      <c r="C88" s="143" t="s">
        <v>113</v>
      </c>
      <c r="D88" s="143" t="s">
        <v>17</v>
      </c>
      <c r="E88" s="143" t="s">
        <v>118</v>
      </c>
      <c r="F88" s="143" t="s">
        <v>282</v>
      </c>
      <c r="G88" s="143" t="s">
        <v>533</v>
      </c>
      <c r="H88" s="143" t="s">
        <v>532</v>
      </c>
      <c r="I88" s="147">
        <f>'Приложение 6'!J82</f>
        <v>4.5</v>
      </c>
      <c r="J88" s="147">
        <f>'Приложение 6'!K82</f>
        <v>4.5</v>
      </c>
      <c r="K88" s="147">
        <f>'Приложение 6'!L82</f>
        <v>4.5</v>
      </c>
    </row>
    <row r="89" spans="1:11" ht="47.25">
      <c r="A89" s="146" t="s">
        <v>468</v>
      </c>
      <c r="B89" s="143" t="s">
        <v>9</v>
      </c>
      <c r="C89" s="143" t="s">
        <v>113</v>
      </c>
      <c r="D89" s="143" t="s">
        <v>33</v>
      </c>
      <c r="E89" s="144">
        <v>0</v>
      </c>
      <c r="F89" s="143" t="s">
        <v>282</v>
      </c>
      <c r="G89" s="143" t="s">
        <v>362</v>
      </c>
      <c r="H89" s="144"/>
      <c r="I89" s="147">
        <f>I90</f>
        <v>82.4</v>
      </c>
      <c r="J89" s="147">
        <f t="shared" ref="J89:K91" si="10">J90</f>
        <v>82.4</v>
      </c>
      <c r="K89" s="147">
        <f t="shared" si="10"/>
        <v>82.4</v>
      </c>
    </row>
    <row r="90" spans="1:11" ht="15.75">
      <c r="A90" s="148" t="s">
        <v>335</v>
      </c>
      <c r="B90" s="143" t="s">
        <v>9</v>
      </c>
      <c r="C90" s="143" t="s">
        <v>113</v>
      </c>
      <c r="D90" s="143" t="s">
        <v>33</v>
      </c>
      <c r="E90" s="143" t="s">
        <v>118</v>
      </c>
      <c r="F90" s="143" t="s">
        <v>9</v>
      </c>
      <c r="G90" s="143" t="s">
        <v>362</v>
      </c>
      <c r="H90" s="143"/>
      <c r="I90" s="147">
        <f>I91</f>
        <v>82.4</v>
      </c>
      <c r="J90" s="147">
        <f t="shared" si="10"/>
        <v>82.4</v>
      </c>
      <c r="K90" s="147">
        <f t="shared" si="10"/>
        <v>82.4</v>
      </c>
    </row>
    <row r="91" spans="1:11" ht="15.75">
      <c r="A91" s="148" t="s">
        <v>336</v>
      </c>
      <c r="B91" s="143" t="s">
        <v>9</v>
      </c>
      <c r="C91" s="143" t="s">
        <v>113</v>
      </c>
      <c r="D91" s="143" t="s">
        <v>33</v>
      </c>
      <c r="E91" s="143" t="s">
        <v>118</v>
      </c>
      <c r="F91" s="143" t="s">
        <v>9</v>
      </c>
      <c r="G91" s="143" t="s">
        <v>337</v>
      </c>
      <c r="H91" s="143"/>
      <c r="I91" s="147">
        <f>I92</f>
        <v>82.4</v>
      </c>
      <c r="J91" s="147">
        <f t="shared" si="10"/>
        <v>82.4</v>
      </c>
      <c r="K91" s="147">
        <f t="shared" si="10"/>
        <v>82.4</v>
      </c>
    </row>
    <row r="92" spans="1:11" ht="31.5">
      <c r="A92" s="148" t="s">
        <v>127</v>
      </c>
      <c r="B92" s="143" t="s">
        <v>9</v>
      </c>
      <c r="C92" s="143" t="s">
        <v>113</v>
      </c>
      <c r="D92" s="143" t="s">
        <v>33</v>
      </c>
      <c r="E92" s="143" t="s">
        <v>118</v>
      </c>
      <c r="F92" s="143" t="s">
        <v>9</v>
      </c>
      <c r="G92" s="143" t="s">
        <v>337</v>
      </c>
      <c r="H92" s="143" t="s">
        <v>117</v>
      </c>
      <c r="I92" s="147">
        <f>'Приложение 6'!J86</f>
        <v>82.4</v>
      </c>
      <c r="J92" s="147">
        <f>'Приложение 6'!K86</f>
        <v>82.4</v>
      </c>
      <c r="K92" s="147">
        <f>'Приложение 6'!L86</f>
        <v>82.4</v>
      </c>
    </row>
    <row r="93" spans="1:11" ht="47.25">
      <c r="A93" s="146" t="s">
        <v>463</v>
      </c>
      <c r="B93" s="143" t="s">
        <v>9</v>
      </c>
      <c r="C93" s="144">
        <v>13</v>
      </c>
      <c r="D93" s="143" t="s">
        <v>34</v>
      </c>
      <c r="E93" s="144">
        <v>0</v>
      </c>
      <c r="F93" s="143" t="s">
        <v>282</v>
      </c>
      <c r="G93" s="143" t="s">
        <v>362</v>
      </c>
      <c r="H93" s="144"/>
      <c r="I93" s="147">
        <f>I94</f>
        <v>2099</v>
      </c>
      <c r="J93" s="147">
        <f t="shared" ref="J93:K95" si="11">J94</f>
        <v>2099</v>
      </c>
      <c r="K93" s="147">
        <f t="shared" si="11"/>
        <v>2071.6999999999998</v>
      </c>
    </row>
    <row r="94" spans="1:11" ht="15.75">
      <c r="A94" s="148" t="s">
        <v>280</v>
      </c>
      <c r="B94" s="143" t="s">
        <v>9</v>
      </c>
      <c r="C94" s="143" t="s">
        <v>113</v>
      </c>
      <c r="D94" s="143" t="s">
        <v>34</v>
      </c>
      <c r="E94" s="143" t="s">
        <v>118</v>
      </c>
      <c r="F94" s="143" t="s">
        <v>9</v>
      </c>
      <c r="G94" s="143" t="s">
        <v>362</v>
      </c>
      <c r="H94" s="143"/>
      <c r="I94" s="147">
        <f>I95</f>
        <v>2099</v>
      </c>
      <c r="J94" s="147">
        <f t="shared" si="11"/>
        <v>2099</v>
      </c>
      <c r="K94" s="147">
        <f t="shared" si="11"/>
        <v>2071.6999999999998</v>
      </c>
    </row>
    <row r="95" spans="1:11" ht="15.75">
      <c r="A95" s="148" t="s">
        <v>280</v>
      </c>
      <c r="B95" s="143" t="s">
        <v>9</v>
      </c>
      <c r="C95" s="143" t="s">
        <v>113</v>
      </c>
      <c r="D95" s="143" t="s">
        <v>34</v>
      </c>
      <c r="E95" s="143" t="s">
        <v>118</v>
      </c>
      <c r="F95" s="143" t="s">
        <v>9</v>
      </c>
      <c r="G95" s="143" t="s">
        <v>281</v>
      </c>
      <c r="H95" s="143"/>
      <c r="I95" s="147">
        <f>I96</f>
        <v>2099</v>
      </c>
      <c r="J95" s="147">
        <f t="shared" si="11"/>
        <v>2099</v>
      </c>
      <c r="K95" s="147">
        <f t="shared" si="11"/>
        <v>2071.6999999999998</v>
      </c>
    </row>
    <row r="96" spans="1:11" ht="31.5">
      <c r="A96" s="148" t="s">
        <v>127</v>
      </c>
      <c r="B96" s="143" t="s">
        <v>9</v>
      </c>
      <c r="C96" s="143" t="s">
        <v>113</v>
      </c>
      <c r="D96" s="143" t="s">
        <v>34</v>
      </c>
      <c r="E96" s="143" t="s">
        <v>118</v>
      </c>
      <c r="F96" s="143" t="s">
        <v>9</v>
      </c>
      <c r="G96" s="143" t="s">
        <v>281</v>
      </c>
      <c r="H96" s="143" t="s">
        <v>117</v>
      </c>
      <c r="I96" s="147">
        <f>'Приложение 6'!J90</f>
        <v>2099</v>
      </c>
      <c r="J96" s="147">
        <f>'Приложение 6'!K90</f>
        <v>2099</v>
      </c>
      <c r="K96" s="147">
        <f>'Приложение 6'!L90</f>
        <v>2071.6999999999998</v>
      </c>
    </row>
    <row r="97" spans="1:11" ht="31.5">
      <c r="A97" s="146" t="s">
        <v>469</v>
      </c>
      <c r="B97" s="143" t="s">
        <v>9</v>
      </c>
      <c r="C97" s="144">
        <v>13</v>
      </c>
      <c r="D97" s="143" t="s">
        <v>113</v>
      </c>
      <c r="E97" s="144">
        <v>0</v>
      </c>
      <c r="F97" s="143" t="s">
        <v>282</v>
      </c>
      <c r="G97" s="143" t="s">
        <v>362</v>
      </c>
      <c r="H97" s="144"/>
      <c r="I97" s="147">
        <f t="shared" ref="I97:K98" si="12">I98</f>
        <v>20</v>
      </c>
      <c r="J97" s="147">
        <f t="shared" si="12"/>
        <v>20</v>
      </c>
      <c r="K97" s="147">
        <f t="shared" si="12"/>
        <v>20</v>
      </c>
    </row>
    <row r="98" spans="1:11" ht="15.75">
      <c r="A98" s="148" t="s">
        <v>410</v>
      </c>
      <c r="B98" s="143" t="s">
        <v>9</v>
      </c>
      <c r="C98" s="143" t="s">
        <v>113</v>
      </c>
      <c r="D98" s="143" t="s">
        <v>113</v>
      </c>
      <c r="E98" s="143" t="s">
        <v>118</v>
      </c>
      <c r="F98" s="143" t="s">
        <v>14</v>
      </c>
      <c r="G98" s="143" t="s">
        <v>411</v>
      </c>
      <c r="H98" s="143"/>
      <c r="I98" s="147">
        <f t="shared" si="12"/>
        <v>20</v>
      </c>
      <c r="J98" s="147">
        <f t="shared" si="12"/>
        <v>20</v>
      </c>
      <c r="K98" s="147">
        <f t="shared" si="12"/>
        <v>20</v>
      </c>
    </row>
    <row r="99" spans="1:11" ht="31.5">
      <c r="A99" s="148" t="s">
        <v>127</v>
      </c>
      <c r="B99" s="143" t="s">
        <v>9</v>
      </c>
      <c r="C99" s="143" t="s">
        <v>113</v>
      </c>
      <c r="D99" s="143" t="s">
        <v>113</v>
      </c>
      <c r="E99" s="143" t="s">
        <v>118</v>
      </c>
      <c r="F99" s="143" t="s">
        <v>14</v>
      </c>
      <c r="G99" s="143" t="s">
        <v>411</v>
      </c>
      <c r="H99" s="143" t="s">
        <v>117</v>
      </c>
      <c r="I99" s="147">
        <f>'Приложение 6'!J94</f>
        <v>20</v>
      </c>
      <c r="J99" s="147">
        <f>'Приложение 6'!K94</f>
        <v>20</v>
      </c>
      <c r="K99" s="147">
        <f>'Приложение 6'!L94</f>
        <v>20</v>
      </c>
    </row>
    <row r="100" spans="1:11" ht="15.75">
      <c r="A100" s="146" t="s">
        <v>44</v>
      </c>
      <c r="B100" s="143" t="s">
        <v>9</v>
      </c>
      <c r="C100" s="144">
        <v>13</v>
      </c>
      <c r="D100" s="143" t="s">
        <v>97</v>
      </c>
      <c r="E100" s="144">
        <v>0</v>
      </c>
      <c r="F100" s="143" t="s">
        <v>282</v>
      </c>
      <c r="G100" s="143" t="s">
        <v>362</v>
      </c>
      <c r="H100" s="144"/>
      <c r="I100" s="147">
        <f>I101</f>
        <v>70</v>
      </c>
      <c r="J100" s="147">
        <f t="shared" ref="J100:K102" si="13">J101</f>
        <v>70</v>
      </c>
      <c r="K100" s="147">
        <f t="shared" si="13"/>
        <v>16.7</v>
      </c>
    </row>
    <row r="101" spans="1:11" ht="15.75">
      <c r="A101" s="146" t="s">
        <v>45</v>
      </c>
      <c r="B101" s="143" t="s">
        <v>9</v>
      </c>
      <c r="C101" s="144">
        <v>13</v>
      </c>
      <c r="D101" s="144">
        <v>91</v>
      </c>
      <c r="E101" s="144">
        <v>1</v>
      </c>
      <c r="F101" s="143" t="s">
        <v>282</v>
      </c>
      <c r="G101" s="143" t="s">
        <v>362</v>
      </c>
      <c r="H101" s="144"/>
      <c r="I101" s="147">
        <f>I102</f>
        <v>70</v>
      </c>
      <c r="J101" s="147">
        <f t="shared" si="13"/>
        <v>70</v>
      </c>
      <c r="K101" s="147">
        <f t="shared" si="13"/>
        <v>16.7</v>
      </c>
    </row>
    <row r="102" spans="1:11" ht="31.5">
      <c r="A102" s="146" t="s">
        <v>128</v>
      </c>
      <c r="B102" s="143" t="s">
        <v>9</v>
      </c>
      <c r="C102" s="144">
        <v>13</v>
      </c>
      <c r="D102" s="144">
        <v>91</v>
      </c>
      <c r="E102" s="144">
        <v>1</v>
      </c>
      <c r="F102" s="143" t="s">
        <v>282</v>
      </c>
      <c r="G102" s="143" t="s">
        <v>348</v>
      </c>
      <c r="H102" s="144"/>
      <c r="I102" s="147">
        <f>I103</f>
        <v>70</v>
      </c>
      <c r="J102" s="147">
        <f t="shared" si="13"/>
        <v>70</v>
      </c>
      <c r="K102" s="147">
        <f t="shared" si="13"/>
        <v>16.7</v>
      </c>
    </row>
    <row r="103" spans="1:11" ht="31.5">
      <c r="A103" s="146" t="s">
        <v>127</v>
      </c>
      <c r="B103" s="143" t="s">
        <v>9</v>
      </c>
      <c r="C103" s="144">
        <v>13</v>
      </c>
      <c r="D103" s="144">
        <v>91</v>
      </c>
      <c r="E103" s="144">
        <v>1</v>
      </c>
      <c r="F103" s="143" t="s">
        <v>282</v>
      </c>
      <c r="G103" s="143" t="s">
        <v>348</v>
      </c>
      <c r="H103" s="144">
        <v>240</v>
      </c>
      <c r="I103" s="147">
        <f>'Приложение 6'!J323</f>
        <v>70</v>
      </c>
      <c r="J103" s="147">
        <f>'Приложение 6'!K323</f>
        <v>70</v>
      </c>
      <c r="K103" s="147">
        <f>'Приложение 6'!L323</f>
        <v>16.7</v>
      </c>
    </row>
    <row r="104" spans="1:11" ht="15.75">
      <c r="A104" s="148" t="s">
        <v>54</v>
      </c>
      <c r="B104" s="143" t="s">
        <v>9</v>
      </c>
      <c r="C104" s="143" t="s">
        <v>113</v>
      </c>
      <c r="D104" s="143" t="s">
        <v>42</v>
      </c>
      <c r="E104" s="144">
        <v>0</v>
      </c>
      <c r="F104" s="143" t="s">
        <v>282</v>
      </c>
      <c r="G104" s="143" t="s">
        <v>362</v>
      </c>
      <c r="H104" s="144"/>
      <c r="I104" s="147">
        <f>I105</f>
        <v>668.5</v>
      </c>
      <c r="J104" s="147">
        <f>J105</f>
        <v>768.5</v>
      </c>
      <c r="K104" s="147">
        <f>K105</f>
        <v>610.30000000000007</v>
      </c>
    </row>
    <row r="105" spans="1:11" ht="15.75">
      <c r="A105" s="148" t="s">
        <v>55</v>
      </c>
      <c r="B105" s="143" t="s">
        <v>9</v>
      </c>
      <c r="C105" s="143" t="s">
        <v>113</v>
      </c>
      <c r="D105" s="143" t="s">
        <v>42</v>
      </c>
      <c r="E105" s="144">
        <v>9</v>
      </c>
      <c r="F105" s="143" t="s">
        <v>282</v>
      </c>
      <c r="G105" s="143" t="s">
        <v>362</v>
      </c>
      <c r="H105" s="144"/>
      <c r="I105" s="147">
        <f>I106+I108</f>
        <v>668.5</v>
      </c>
      <c r="J105" s="147">
        <f>J106+J108</f>
        <v>768.5</v>
      </c>
      <c r="K105" s="147">
        <f>K106+K108</f>
        <v>610.30000000000007</v>
      </c>
    </row>
    <row r="106" spans="1:11" s="6" customFormat="1" ht="31.5">
      <c r="A106" s="148" t="s">
        <v>534</v>
      </c>
      <c r="B106" s="143" t="s">
        <v>9</v>
      </c>
      <c r="C106" s="143" t="s">
        <v>113</v>
      </c>
      <c r="D106" s="143" t="s">
        <v>42</v>
      </c>
      <c r="E106" s="144">
        <v>9</v>
      </c>
      <c r="F106" s="143" t="s">
        <v>282</v>
      </c>
      <c r="G106" s="143" t="s">
        <v>535</v>
      </c>
      <c r="H106" s="144"/>
      <c r="I106" s="147">
        <f>I107</f>
        <v>650</v>
      </c>
      <c r="J106" s="147">
        <f>J107</f>
        <v>750</v>
      </c>
      <c r="K106" s="147">
        <f>K107</f>
        <v>592.20000000000005</v>
      </c>
    </row>
    <row r="107" spans="1:11" ht="31.5">
      <c r="A107" s="148" t="s">
        <v>127</v>
      </c>
      <c r="B107" s="143" t="s">
        <v>9</v>
      </c>
      <c r="C107" s="143" t="s">
        <v>113</v>
      </c>
      <c r="D107" s="143" t="s">
        <v>42</v>
      </c>
      <c r="E107" s="144">
        <v>9</v>
      </c>
      <c r="F107" s="143" t="s">
        <v>282</v>
      </c>
      <c r="G107" s="143" t="s">
        <v>535</v>
      </c>
      <c r="H107" s="144">
        <v>240</v>
      </c>
      <c r="I107" s="147">
        <f>'Приложение 6'!J98</f>
        <v>650</v>
      </c>
      <c r="J107" s="147">
        <f>'Приложение 6'!K98</f>
        <v>750</v>
      </c>
      <c r="K107" s="147">
        <f>'Приложение 6'!L98</f>
        <v>592.20000000000005</v>
      </c>
    </row>
    <row r="108" spans="1:11" ht="15.75">
      <c r="A108" s="148" t="s">
        <v>536</v>
      </c>
      <c r="B108" s="143" t="s">
        <v>9</v>
      </c>
      <c r="C108" s="143" t="s">
        <v>113</v>
      </c>
      <c r="D108" s="143" t="s">
        <v>42</v>
      </c>
      <c r="E108" s="144">
        <v>9</v>
      </c>
      <c r="F108" s="143" t="s">
        <v>282</v>
      </c>
      <c r="G108" s="144">
        <v>29090</v>
      </c>
      <c r="H108" s="143"/>
      <c r="I108" s="147">
        <f>I109</f>
        <v>18.5</v>
      </c>
      <c r="J108" s="147">
        <f>J109</f>
        <v>18.5</v>
      </c>
      <c r="K108" s="147">
        <f>K109</f>
        <v>18.100000000000001</v>
      </c>
    </row>
    <row r="109" spans="1:11" ht="15.75">
      <c r="A109" s="148" t="s">
        <v>107</v>
      </c>
      <c r="B109" s="143" t="s">
        <v>9</v>
      </c>
      <c r="C109" s="143" t="s">
        <v>113</v>
      </c>
      <c r="D109" s="143" t="s">
        <v>42</v>
      </c>
      <c r="E109" s="144">
        <v>9</v>
      </c>
      <c r="F109" s="143" t="s">
        <v>282</v>
      </c>
      <c r="G109" s="144">
        <v>29090</v>
      </c>
      <c r="H109" s="143" t="s">
        <v>366</v>
      </c>
      <c r="I109" s="147">
        <f>'Приложение 6'!J100</f>
        <v>18.5</v>
      </c>
      <c r="J109" s="147">
        <f>'Приложение 6'!K100</f>
        <v>18.5</v>
      </c>
      <c r="K109" s="147">
        <f>'Приложение 6'!L100</f>
        <v>18.100000000000001</v>
      </c>
    </row>
    <row r="110" spans="1:11" ht="15.75">
      <c r="A110" s="152" t="s">
        <v>248</v>
      </c>
      <c r="B110" s="143" t="s">
        <v>11</v>
      </c>
      <c r="C110" s="144" t="s">
        <v>7</v>
      </c>
      <c r="D110" s="143" t="s">
        <v>8</v>
      </c>
      <c r="E110" s="144"/>
      <c r="F110" s="143"/>
      <c r="G110" s="143"/>
      <c r="H110" s="144" t="s">
        <v>6</v>
      </c>
      <c r="I110" s="145">
        <f>I111</f>
        <v>481.6</v>
      </c>
      <c r="J110" s="145">
        <f t="shared" ref="J110:K113" si="14">J111</f>
        <v>481.6</v>
      </c>
      <c r="K110" s="145">
        <f t="shared" si="14"/>
        <v>481.6</v>
      </c>
    </row>
    <row r="111" spans="1:11" ht="15.75">
      <c r="A111" s="153" t="s">
        <v>2</v>
      </c>
      <c r="B111" s="143" t="s">
        <v>11</v>
      </c>
      <c r="C111" s="143" t="s">
        <v>10</v>
      </c>
      <c r="D111" s="143" t="s">
        <v>8</v>
      </c>
      <c r="E111" s="144"/>
      <c r="F111" s="143"/>
      <c r="G111" s="143"/>
      <c r="H111" s="144" t="s">
        <v>6</v>
      </c>
      <c r="I111" s="147">
        <f>I112</f>
        <v>481.6</v>
      </c>
      <c r="J111" s="147">
        <f t="shared" si="14"/>
        <v>481.6</v>
      </c>
      <c r="K111" s="147">
        <f t="shared" si="14"/>
        <v>481.6</v>
      </c>
    </row>
    <row r="112" spans="1:11" ht="15.75">
      <c r="A112" s="148" t="s">
        <v>54</v>
      </c>
      <c r="B112" s="143" t="s">
        <v>11</v>
      </c>
      <c r="C112" s="143" t="s">
        <v>10</v>
      </c>
      <c r="D112" s="143" t="s">
        <v>42</v>
      </c>
      <c r="E112" s="144">
        <v>0</v>
      </c>
      <c r="F112" s="143" t="s">
        <v>282</v>
      </c>
      <c r="G112" s="143" t="s">
        <v>362</v>
      </c>
      <c r="H112" s="144"/>
      <c r="I112" s="147">
        <f>I113</f>
        <v>481.6</v>
      </c>
      <c r="J112" s="147">
        <f t="shared" si="14"/>
        <v>481.6</v>
      </c>
      <c r="K112" s="147">
        <f t="shared" si="14"/>
        <v>481.6</v>
      </c>
    </row>
    <row r="113" spans="1:11" ht="15.75">
      <c r="A113" s="148" t="s">
        <v>55</v>
      </c>
      <c r="B113" s="143" t="s">
        <v>11</v>
      </c>
      <c r="C113" s="143" t="s">
        <v>10</v>
      </c>
      <c r="D113" s="143" t="s">
        <v>42</v>
      </c>
      <c r="E113" s="144">
        <v>9</v>
      </c>
      <c r="F113" s="143" t="s">
        <v>282</v>
      </c>
      <c r="G113" s="143" t="s">
        <v>362</v>
      </c>
      <c r="H113" s="144"/>
      <c r="I113" s="147">
        <f>I114</f>
        <v>481.6</v>
      </c>
      <c r="J113" s="147">
        <f t="shared" si="14"/>
        <v>481.6</v>
      </c>
      <c r="K113" s="147">
        <f t="shared" si="14"/>
        <v>481.6</v>
      </c>
    </row>
    <row r="114" spans="1:11" ht="31.5">
      <c r="A114" s="146" t="s">
        <v>56</v>
      </c>
      <c r="B114" s="143" t="s">
        <v>11</v>
      </c>
      <c r="C114" s="143" t="s">
        <v>10</v>
      </c>
      <c r="D114" s="143" t="s">
        <v>42</v>
      </c>
      <c r="E114" s="144">
        <v>9</v>
      </c>
      <c r="F114" s="143" t="s">
        <v>282</v>
      </c>
      <c r="G114" s="143" t="s">
        <v>304</v>
      </c>
      <c r="H114" s="144"/>
      <c r="I114" s="147">
        <f>SUM(I115:I116)</f>
        <v>481.6</v>
      </c>
      <c r="J114" s="147">
        <f>SUM(J115:J116)</f>
        <v>481.6</v>
      </c>
      <c r="K114" s="147">
        <f>SUM(K115:K116)</f>
        <v>481.6</v>
      </c>
    </row>
    <row r="115" spans="1:11" ht="15.75">
      <c r="A115" s="146" t="s">
        <v>106</v>
      </c>
      <c r="B115" s="143" t="s">
        <v>11</v>
      </c>
      <c r="C115" s="143" t="s">
        <v>10</v>
      </c>
      <c r="D115" s="143" t="s">
        <v>42</v>
      </c>
      <c r="E115" s="144">
        <v>9</v>
      </c>
      <c r="F115" s="143" t="s">
        <v>282</v>
      </c>
      <c r="G115" s="143" t="s">
        <v>304</v>
      </c>
      <c r="H115" s="144">
        <v>120</v>
      </c>
      <c r="I115" s="147">
        <f>'Приложение 6'!J106</f>
        <v>461.6</v>
      </c>
      <c r="J115" s="147">
        <f>'Приложение 6'!K106</f>
        <v>461.6</v>
      </c>
      <c r="K115" s="147">
        <f>'Приложение 6'!L106</f>
        <v>461.6</v>
      </c>
    </row>
    <row r="116" spans="1:11" ht="31.5">
      <c r="A116" s="148" t="s">
        <v>127</v>
      </c>
      <c r="B116" s="143" t="s">
        <v>11</v>
      </c>
      <c r="C116" s="143" t="s">
        <v>10</v>
      </c>
      <c r="D116" s="143" t="s">
        <v>42</v>
      </c>
      <c r="E116" s="144">
        <v>9</v>
      </c>
      <c r="F116" s="143" t="s">
        <v>282</v>
      </c>
      <c r="G116" s="143" t="s">
        <v>304</v>
      </c>
      <c r="H116" s="144">
        <v>240</v>
      </c>
      <c r="I116" s="147">
        <f>'Приложение 6'!J107</f>
        <v>20</v>
      </c>
      <c r="J116" s="147">
        <f>'Приложение 6'!K107</f>
        <v>20</v>
      </c>
      <c r="K116" s="147">
        <f>'Приложение 6'!L107</f>
        <v>20</v>
      </c>
    </row>
    <row r="117" spans="1:11" ht="15.75">
      <c r="A117" s="152" t="s">
        <v>249</v>
      </c>
      <c r="B117" s="143" t="s">
        <v>10</v>
      </c>
      <c r="C117" s="143"/>
      <c r="D117" s="143"/>
      <c r="E117" s="144"/>
      <c r="F117" s="143"/>
      <c r="G117" s="143"/>
      <c r="H117" s="144"/>
      <c r="I117" s="147">
        <f>I118+I130</f>
        <v>1635.5</v>
      </c>
      <c r="J117" s="147">
        <f>J118+J130</f>
        <v>1635.5</v>
      </c>
      <c r="K117" s="147">
        <f>K118+K130</f>
        <v>1520</v>
      </c>
    </row>
    <row r="118" spans="1:11" ht="31.5">
      <c r="A118" s="146" t="s">
        <v>29</v>
      </c>
      <c r="B118" s="143" t="s">
        <v>10</v>
      </c>
      <c r="C118" s="143" t="s">
        <v>22</v>
      </c>
      <c r="D118" s="143"/>
      <c r="E118" s="144"/>
      <c r="F118" s="143"/>
      <c r="G118" s="143"/>
      <c r="H118" s="144"/>
      <c r="I118" s="147">
        <f>I119+I126</f>
        <v>1102.5</v>
      </c>
      <c r="J118" s="147">
        <f>J119+J126</f>
        <v>1102.5</v>
      </c>
      <c r="K118" s="147">
        <f>K119+K126</f>
        <v>1072.5999999999999</v>
      </c>
    </row>
    <row r="119" spans="1:11" ht="63">
      <c r="A119" s="146" t="s">
        <v>367</v>
      </c>
      <c r="B119" s="143" t="s">
        <v>10</v>
      </c>
      <c r="C119" s="143" t="s">
        <v>22</v>
      </c>
      <c r="D119" s="143" t="s">
        <v>11</v>
      </c>
      <c r="E119" s="144">
        <v>0</v>
      </c>
      <c r="F119" s="143" t="s">
        <v>282</v>
      </c>
      <c r="G119" s="143" t="s">
        <v>362</v>
      </c>
      <c r="H119" s="144"/>
      <c r="I119" s="147">
        <f>I120+I123</f>
        <v>1067.5</v>
      </c>
      <c r="J119" s="147">
        <f>J120+J123</f>
        <v>1067.5</v>
      </c>
      <c r="K119" s="147">
        <f>K120+K123</f>
        <v>1037.5999999999999</v>
      </c>
    </row>
    <row r="120" spans="1:11" ht="15.75">
      <c r="A120" s="148" t="s">
        <v>305</v>
      </c>
      <c r="B120" s="143" t="s">
        <v>10</v>
      </c>
      <c r="C120" s="143" t="s">
        <v>22</v>
      </c>
      <c r="D120" s="143" t="s">
        <v>11</v>
      </c>
      <c r="E120" s="144">
        <v>1</v>
      </c>
      <c r="F120" s="143" t="s">
        <v>282</v>
      </c>
      <c r="G120" s="143" t="s">
        <v>362</v>
      </c>
      <c r="H120" s="144"/>
      <c r="I120" s="147">
        <f t="shared" ref="I120:K121" si="15">I121</f>
        <v>776.6</v>
      </c>
      <c r="J120" s="147">
        <f t="shared" si="15"/>
        <v>776.6</v>
      </c>
      <c r="K120" s="147">
        <f t="shared" si="15"/>
        <v>776.6</v>
      </c>
    </row>
    <row r="121" spans="1:11" ht="31.5">
      <c r="A121" s="148" t="s">
        <v>306</v>
      </c>
      <c r="B121" s="143" t="s">
        <v>10</v>
      </c>
      <c r="C121" s="143" t="s">
        <v>22</v>
      </c>
      <c r="D121" s="143" t="s">
        <v>11</v>
      </c>
      <c r="E121" s="144">
        <v>1</v>
      </c>
      <c r="F121" s="143" t="s">
        <v>282</v>
      </c>
      <c r="G121" s="143" t="s">
        <v>307</v>
      </c>
      <c r="H121" s="144"/>
      <c r="I121" s="147">
        <f t="shared" si="15"/>
        <v>776.6</v>
      </c>
      <c r="J121" s="147">
        <f t="shared" si="15"/>
        <v>776.6</v>
      </c>
      <c r="K121" s="147">
        <f t="shared" si="15"/>
        <v>776.6</v>
      </c>
    </row>
    <row r="122" spans="1:11" ht="31.5">
      <c r="A122" s="148" t="s">
        <v>127</v>
      </c>
      <c r="B122" s="143" t="s">
        <v>10</v>
      </c>
      <c r="C122" s="143" t="s">
        <v>22</v>
      </c>
      <c r="D122" s="143" t="s">
        <v>11</v>
      </c>
      <c r="E122" s="144">
        <v>1</v>
      </c>
      <c r="F122" s="143" t="s">
        <v>282</v>
      </c>
      <c r="G122" s="143" t="s">
        <v>307</v>
      </c>
      <c r="H122" s="144">
        <v>240</v>
      </c>
      <c r="I122" s="147">
        <f>'Приложение 6'!J113</f>
        <v>776.6</v>
      </c>
      <c r="J122" s="147">
        <f>'Приложение 6'!K113</f>
        <v>776.6</v>
      </c>
      <c r="K122" s="147">
        <f>'Приложение 6'!L113</f>
        <v>776.6</v>
      </c>
    </row>
    <row r="123" spans="1:11" ht="47.25">
      <c r="A123" s="148" t="s">
        <v>308</v>
      </c>
      <c r="B123" s="143" t="s">
        <v>10</v>
      </c>
      <c r="C123" s="143" t="s">
        <v>22</v>
      </c>
      <c r="D123" s="143" t="s">
        <v>11</v>
      </c>
      <c r="E123" s="144">
        <v>3</v>
      </c>
      <c r="F123" s="143" t="s">
        <v>282</v>
      </c>
      <c r="G123" s="143" t="s">
        <v>362</v>
      </c>
      <c r="H123" s="144"/>
      <c r="I123" s="147">
        <f t="shared" ref="I123:K124" si="16">I124</f>
        <v>290.89999999999998</v>
      </c>
      <c r="J123" s="147">
        <f t="shared" si="16"/>
        <v>290.89999999999998</v>
      </c>
      <c r="K123" s="147">
        <f t="shared" si="16"/>
        <v>261</v>
      </c>
    </row>
    <row r="124" spans="1:11" ht="31.5">
      <c r="A124" s="148" t="s">
        <v>368</v>
      </c>
      <c r="B124" s="143" t="s">
        <v>10</v>
      </c>
      <c r="C124" s="143" t="s">
        <v>22</v>
      </c>
      <c r="D124" s="143" t="s">
        <v>11</v>
      </c>
      <c r="E124" s="144">
        <v>3</v>
      </c>
      <c r="F124" s="143" t="s">
        <v>282</v>
      </c>
      <c r="G124" s="143" t="s">
        <v>369</v>
      </c>
      <c r="H124" s="144"/>
      <c r="I124" s="147">
        <f t="shared" si="16"/>
        <v>290.89999999999998</v>
      </c>
      <c r="J124" s="147">
        <f t="shared" si="16"/>
        <v>290.89999999999998</v>
      </c>
      <c r="K124" s="147">
        <f t="shared" si="16"/>
        <v>261</v>
      </c>
    </row>
    <row r="125" spans="1:11" ht="31.5">
      <c r="A125" s="148" t="s">
        <v>127</v>
      </c>
      <c r="B125" s="143" t="s">
        <v>10</v>
      </c>
      <c r="C125" s="143" t="s">
        <v>22</v>
      </c>
      <c r="D125" s="143" t="s">
        <v>11</v>
      </c>
      <c r="E125" s="144">
        <v>3</v>
      </c>
      <c r="F125" s="143" t="s">
        <v>282</v>
      </c>
      <c r="G125" s="143" t="s">
        <v>369</v>
      </c>
      <c r="H125" s="144">
        <v>240</v>
      </c>
      <c r="I125" s="147">
        <f>'Приложение 6'!J116</f>
        <v>290.89999999999998</v>
      </c>
      <c r="J125" s="147">
        <f>'Приложение 6'!K116</f>
        <v>290.89999999999998</v>
      </c>
      <c r="K125" s="147">
        <f>'Приложение 6'!L116</f>
        <v>261</v>
      </c>
    </row>
    <row r="126" spans="1:11" ht="15.75">
      <c r="A126" s="148" t="s">
        <v>51</v>
      </c>
      <c r="B126" s="143" t="s">
        <v>10</v>
      </c>
      <c r="C126" s="143" t="s">
        <v>22</v>
      </c>
      <c r="D126" s="143">
        <v>97</v>
      </c>
      <c r="E126" s="144">
        <v>0</v>
      </c>
      <c r="F126" s="143" t="s">
        <v>282</v>
      </c>
      <c r="G126" s="143" t="s">
        <v>362</v>
      </c>
      <c r="H126" s="144"/>
      <c r="I126" s="147">
        <f>I127</f>
        <v>35</v>
      </c>
      <c r="J126" s="147">
        <f t="shared" ref="J126:K128" si="17">J127</f>
        <v>35</v>
      </c>
      <c r="K126" s="147">
        <f t="shared" si="17"/>
        <v>35</v>
      </c>
    </row>
    <row r="127" spans="1:11" ht="47.25">
      <c r="A127" s="148" t="s">
        <v>50</v>
      </c>
      <c r="B127" s="143" t="s">
        <v>10</v>
      </c>
      <c r="C127" s="143" t="s">
        <v>22</v>
      </c>
      <c r="D127" s="143">
        <v>97</v>
      </c>
      <c r="E127" s="144">
        <v>2</v>
      </c>
      <c r="F127" s="143" t="s">
        <v>282</v>
      </c>
      <c r="G127" s="143" t="s">
        <v>362</v>
      </c>
      <c r="H127" s="144"/>
      <c r="I127" s="147">
        <f>I128</f>
        <v>35</v>
      </c>
      <c r="J127" s="147">
        <f t="shared" si="17"/>
        <v>35</v>
      </c>
      <c r="K127" s="147">
        <f t="shared" si="17"/>
        <v>35</v>
      </c>
    </row>
    <row r="128" spans="1:11" ht="47.25">
      <c r="A128" s="148" t="s">
        <v>311</v>
      </c>
      <c r="B128" s="143" t="s">
        <v>10</v>
      </c>
      <c r="C128" s="143" t="s">
        <v>22</v>
      </c>
      <c r="D128" s="143" t="s">
        <v>57</v>
      </c>
      <c r="E128" s="144">
        <v>2</v>
      </c>
      <c r="F128" s="143" t="s">
        <v>282</v>
      </c>
      <c r="G128" s="143" t="s">
        <v>312</v>
      </c>
      <c r="H128" s="144"/>
      <c r="I128" s="147">
        <f>I129</f>
        <v>35</v>
      </c>
      <c r="J128" s="147">
        <f t="shared" si="17"/>
        <v>35</v>
      </c>
      <c r="K128" s="147">
        <f t="shared" si="17"/>
        <v>35</v>
      </c>
    </row>
    <row r="129" spans="1:11" ht="15.75">
      <c r="A129" s="151" t="s">
        <v>35</v>
      </c>
      <c r="B129" s="143" t="s">
        <v>10</v>
      </c>
      <c r="C129" s="143" t="s">
        <v>22</v>
      </c>
      <c r="D129" s="143" t="s">
        <v>57</v>
      </c>
      <c r="E129" s="144">
        <v>2</v>
      </c>
      <c r="F129" s="143" t="s">
        <v>282</v>
      </c>
      <c r="G129" s="143" t="s">
        <v>312</v>
      </c>
      <c r="H129" s="144">
        <v>540</v>
      </c>
      <c r="I129" s="147">
        <f>'Приложение 6'!J120</f>
        <v>35</v>
      </c>
      <c r="J129" s="147">
        <f>'Приложение 6'!K120</f>
        <v>35</v>
      </c>
      <c r="K129" s="147">
        <f>'Приложение 6'!L120</f>
        <v>35</v>
      </c>
    </row>
    <row r="130" spans="1:11" ht="15.75">
      <c r="A130" s="148" t="s">
        <v>370</v>
      </c>
      <c r="B130" s="143" t="s">
        <v>10</v>
      </c>
      <c r="C130" s="143" t="s">
        <v>33</v>
      </c>
      <c r="D130" s="143"/>
      <c r="E130" s="144"/>
      <c r="F130" s="143"/>
      <c r="G130" s="143"/>
      <c r="H130" s="144"/>
      <c r="I130" s="147">
        <f>I131</f>
        <v>533</v>
      </c>
      <c r="J130" s="147">
        <f t="shared" ref="J130:K133" si="18">J131</f>
        <v>533</v>
      </c>
      <c r="K130" s="147">
        <f t="shared" si="18"/>
        <v>447.4</v>
      </c>
    </row>
    <row r="131" spans="1:11" ht="63">
      <c r="A131" s="148" t="s">
        <v>367</v>
      </c>
      <c r="B131" s="143" t="s">
        <v>10</v>
      </c>
      <c r="C131" s="143" t="s">
        <v>33</v>
      </c>
      <c r="D131" s="143" t="s">
        <v>11</v>
      </c>
      <c r="E131" s="144">
        <v>0</v>
      </c>
      <c r="F131" s="143" t="s">
        <v>282</v>
      </c>
      <c r="G131" s="143" t="s">
        <v>362</v>
      </c>
      <c r="H131" s="144"/>
      <c r="I131" s="147">
        <f>I132</f>
        <v>533</v>
      </c>
      <c r="J131" s="147">
        <f t="shared" si="18"/>
        <v>533</v>
      </c>
      <c r="K131" s="147">
        <f t="shared" si="18"/>
        <v>447.4</v>
      </c>
    </row>
    <row r="132" spans="1:11" ht="15.75">
      <c r="A132" s="148" t="s">
        <v>309</v>
      </c>
      <c r="B132" s="143" t="s">
        <v>10</v>
      </c>
      <c r="C132" s="143" t="s">
        <v>33</v>
      </c>
      <c r="D132" s="143" t="s">
        <v>11</v>
      </c>
      <c r="E132" s="144">
        <v>4</v>
      </c>
      <c r="F132" s="143" t="s">
        <v>282</v>
      </c>
      <c r="G132" s="143" t="s">
        <v>362</v>
      </c>
      <c r="H132" s="144"/>
      <c r="I132" s="147">
        <f>I133</f>
        <v>533</v>
      </c>
      <c r="J132" s="147">
        <f t="shared" si="18"/>
        <v>533</v>
      </c>
      <c r="K132" s="147">
        <f t="shared" si="18"/>
        <v>447.4</v>
      </c>
    </row>
    <row r="133" spans="1:11" ht="15.75">
      <c r="A133" s="148" t="s">
        <v>309</v>
      </c>
      <c r="B133" s="143" t="s">
        <v>10</v>
      </c>
      <c r="C133" s="143" t="s">
        <v>33</v>
      </c>
      <c r="D133" s="143" t="s">
        <v>11</v>
      </c>
      <c r="E133" s="144">
        <v>4</v>
      </c>
      <c r="F133" s="143" t="s">
        <v>282</v>
      </c>
      <c r="G133" s="143" t="s">
        <v>310</v>
      </c>
      <c r="H133" s="144"/>
      <c r="I133" s="147">
        <f>I134</f>
        <v>533</v>
      </c>
      <c r="J133" s="147">
        <f t="shared" si="18"/>
        <v>533</v>
      </c>
      <c r="K133" s="147">
        <f t="shared" si="18"/>
        <v>447.4</v>
      </c>
    </row>
    <row r="134" spans="1:11" ht="31.5">
      <c r="A134" s="148" t="s">
        <v>127</v>
      </c>
      <c r="B134" s="143" t="s">
        <v>10</v>
      </c>
      <c r="C134" s="143" t="s">
        <v>33</v>
      </c>
      <c r="D134" s="143" t="s">
        <v>11</v>
      </c>
      <c r="E134" s="144">
        <v>4</v>
      </c>
      <c r="F134" s="143" t="s">
        <v>282</v>
      </c>
      <c r="G134" s="143" t="s">
        <v>310</v>
      </c>
      <c r="H134" s="144">
        <v>240</v>
      </c>
      <c r="I134" s="147">
        <f>'Приложение 6'!J125</f>
        <v>533</v>
      </c>
      <c r="J134" s="147">
        <f>'Приложение 6'!K125</f>
        <v>533</v>
      </c>
      <c r="K134" s="147">
        <f>'Приложение 6'!L125</f>
        <v>447.4</v>
      </c>
    </row>
    <row r="135" spans="1:11" ht="15.75">
      <c r="A135" s="152" t="s">
        <v>250</v>
      </c>
      <c r="B135" s="143" t="s">
        <v>13</v>
      </c>
      <c r="C135" s="144" t="s">
        <v>7</v>
      </c>
      <c r="D135" s="143"/>
      <c r="E135" s="144"/>
      <c r="F135" s="143"/>
      <c r="G135" s="143"/>
      <c r="H135" s="144"/>
      <c r="I135" s="147">
        <f>I136+I151+I156</f>
        <v>35575.600000000006</v>
      </c>
      <c r="J135" s="147">
        <f>J136+J151+J156</f>
        <v>35574.700000000004</v>
      </c>
      <c r="K135" s="147">
        <f>K136+K151+K156</f>
        <v>28204.300000000003</v>
      </c>
    </row>
    <row r="136" spans="1:11" ht="15.75">
      <c r="A136" s="146" t="s">
        <v>38</v>
      </c>
      <c r="B136" s="143" t="s">
        <v>13</v>
      </c>
      <c r="C136" s="143" t="s">
        <v>22</v>
      </c>
      <c r="D136" s="143"/>
      <c r="E136" s="144"/>
      <c r="F136" s="143"/>
      <c r="G136" s="143"/>
      <c r="H136" s="144"/>
      <c r="I136" s="147">
        <f t="shared" ref="I136:K137" si="19">I137</f>
        <v>35471.300000000003</v>
      </c>
      <c r="J136" s="147">
        <f t="shared" si="19"/>
        <v>35471.300000000003</v>
      </c>
      <c r="K136" s="147">
        <f t="shared" si="19"/>
        <v>28100.9</v>
      </c>
    </row>
    <row r="137" spans="1:11" ht="31.5">
      <c r="A137" s="146" t="s">
        <v>470</v>
      </c>
      <c r="B137" s="143" t="s">
        <v>13</v>
      </c>
      <c r="C137" s="143" t="s">
        <v>22</v>
      </c>
      <c r="D137" s="143" t="s">
        <v>10</v>
      </c>
      <c r="E137" s="144">
        <v>0</v>
      </c>
      <c r="F137" s="143" t="s">
        <v>282</v>
      </c>
      <c r="G137" s="143" t="s">
        <v>362</v>
      </c>
      <c r="H137" s="144"/>
      <c r="I137" s="147">
        <f t="shared" si="19"/>
        <v>35471.300000000003</v>
      </c>
      <c r="J137" s="147">
        <f t="shared" si="19"/>
        <v>35471.300000000003</v>
      </c>
      <c r="K137" s="147">
        <f t="shared" si="19"/>
        <v>28100.9</v>
      </c>
    </row>
    <row r="138" spans="1:11" s="6" customFormat="1" ht="31.5">
      <c r="A138" s="148" t="s">
        <v>378</v>
      </c>
      <c r="B138" s="143" t="s">
        <v>13</v>
      </c>
      <c r="C138" s="143" t="s">
        <v>22</v>
      </c>
      <c r="D138" s="143" t="s">
        <v>10</v>
      </c>
      <c r="E138" s="144">
        <v>1</v>
      </c>
      <c r="F138" s="143" t="s">
        <v>282</v>
      </c>
      <c r="G138" s="143" t="s">
        <v>362</v>
      </c>
      <c r="H138" s="144"/>
      <c r="I138" s="147">
        <f>I139+I141+I143+I145+I147+I149</f>
        <v>35471.300000000003</v>
      </c>
      <c r="J138" s="147">
        <f>J139+J141+J143+J145+J147+J149</f>
        <v>35471.300000000003</v>
      </c>
      <c r="K138" s="147">
        <f>K139+K141+K143+K145+K147+K149</f>
        <v>28100.9</v>
      </c>
    </row>
    <row r="139" spans="1:11" ht="15.75">
      <c r="A139" s="148" t="s">
        <v>58</v>
      </c>
      <c r="B139" s="143" t="s">
        <v>13</v>
      </c>
      <c r="C139" s="143" t="s">
        <v>22</v>
      </c>
      <c r="D139" s="143" t="s">
        <v>10</v>
      </c>
      <c r="E139" s="144">
        <v>1</v>
      </c>
      <c r="F139" s="143" t="s">
        <v>282</v>
      </c>
      <c r="G139" s="143" t="s">
        <v>313</v>
      </c>
      <c r="H139" s="144"/>
      <c r="I139" s="147">
        <f>I140</f>
        <v>12680.199999999999</v>
      </c>
      <c r="J139" s="147">
        <f>J140</f>
        <v>12680.199999999999</v>
      </c>
      <c r="K139" s="147">
        <f>K140</f>
        <v>9804.6</v>
      </c>
    </row>
    <row r="140" spans="1:11" ht="31.5">
      <c r="A140" s="148" t="s">
        <v>127</v>
      </c>
      <c r="B140" s="143" t="s">
        <v>13</v>
      </c>
      <c r="C140" s="143" t="s">
        <v>22</v>
      </c>
      <c r="D140" s="143" t="s">
        <v>10</v>
      </c>
      <c r="E140" s="144">
        <v>1</v>
      </c>
      <c r="F140" s="143" t="s">
        <v>282</v>
      </c>
      <c r="G140" s="143" t="s">
        <v>313</v>
      </c>
      <c r="H140" s="144">
        <v>240</v>
      </c>
      <c r="I140" s="147">
        <f>'Приложение 6'!J131</f>
        <v>12680.199999999999</v>
      </c>
      <c r="J140" s="147">
        <f>'Приложение 6'!K131</f>
        <v>12680.199999999999</v>
      </c>
      <c r="K140" s="147">
        <f>'Приложение 6'!L131</f>
        <v>9804.6</v>
      </c>
    </row>
    <row r="141" spans="1:11" ht="15.75">
      <c r="A141" s="148" t="s">
        <v>59</v>
      </c>
      <c r="B141" s="143" t="s">
        <v>13</v>
      </c>
      <c r="C141" s="143" t="s">
        <v>22</v>
      </c>
      <c r="D141" s="143" t="s">
        <v>10</v>
      </c>
      <c r="E141" s="144">
        <v>1</v>
      </c>
      <c r="F141" s="143" t="s">
        <v>282</v>
      </c>
      <c r="G141" s="143" t="s">
        <v>314</v>
      </c>
      <c r="H141" s="144"/>
      <c r="I141" s="147">
        <f>I142</f>
        <v>1168.4000000000001</v>
      </c>
      <c r="J141" s="147">
        <f>J142</f>
        <v>1168.4000000000001</v>
      </c>
      <c r="K141" s="147">
        <f>K142</f>
        <v>1168.3</v>
      </c>
    </row>
    <row r="142" spans="1:11" ht="31.5">
      <c r="A142" s="148" t="s">
        <v>127</v>
      </c>
      <c r="B142" s="143" t="s">
        <v>13</v>
      </c>
      <c r="C142" s="143" t="s">
        <v>22</v>
      </c>
      <c r="D142" s="143" t="s">
        <v>10</v>
      </c>
      <c r="E142" s="144">
        <v>1</v>
      </c>
      <c r="F142" s="143" t="s">
        <v>282</v>
      </c>
      <c r="G142" s="143" t="s">
        <v>314</v>
      </c>
      <c r="H142" s="144">
        <v>240</v>
      </c>
      <c r="I142" s="147">
        <f>'Приложение 6'!J133</f>
        <v>1168.4000000000001</v>
      </c>
      <c r="J142" s="147">
        <f>'Приложение 6'!K133</f>
        <v>1168.4000000000001</v>
      </c>
      <c r="K142" s="147">
        <f>'Приложение 6'!L133</f>
        <v>1168.3</v>
      </c>
    </row>
    <row r="143" spans="1:11" ht="31.5">
      <c r="A143" s="148" t="s">
        <v>96</v>
      </c>
      <c r="B143" s="143" t="s">
        <v>13</v>
      </c>
      <c r="C143" s="143" t="s">
        <v>22</v>
      </c>
      <c r="D143" s="143" t="s">
        <v>10</v>
      </c>
      <c r="E143" s="144">
        <v>1</v>
      </c>
      <c r="F143" s="143" t="s">
        <v>282</v>
      </c>
      <c r="G143" s="143" t="s">
        <v>315</v>
      </c>
      <c r="H143" s="144"/>
      <c r="I143" s="147">
        <f>I144</f>
        <v>28</v>
      </c>
      <c r="J143" s="147">
        <f>J144</f>
        <v>28</v>
      </c>
      <c r="K143" s="147">
        <f>K144</f>
        <v>28</v>
      </c>
    </row>
    <row r="144" spans="1:11" ht="31.5">
      <c r="A144" s="148" t="s">
        <v>127</v>
      </c>
      <c r="B144" s="143" t="s">
        <v>13</v>
      </c>
      <c r="C144" s="143" t="s">
        <v>22</v>
      </c>
      <c r="D144" s="143" t="s">
        <v>10</v>
      </c>
      <c r="E144" s="144">
        <v>1</v>
      </c>
      <c r="F144" s="143" t="s">
        <v>282</v>
      </c>
      <c r="G144" s="143" t="s">
        <v>315</v>
      </c>
      <c r="H144" s="144">
        <v>240</v>
      </c>
      <c r="I144" s="147">
        <f>'Приложение 6'!J135</f>
        <v>28</v>
      </c>
      <c r="J144" s="147">
        <f>'Приложение 6'!K135</f>
        <v>28</v>
      </c>
      <c r="K144" s="147">
        <f>'Приложение 6'!L135</f>
        <v>28</v>
      </c>
    </row>
    <row r="145" spans="1:11" ht="15.75">
      <c r="A145" s="148" t="s">
        <v>126</v>
      </c>
      <c r="B145" s="143" t="s">
        <v>13</v>
      </c>
      <c r="C145" s="143" t="s">
        <v>22</v>
      </c>
      <c r="D145" s="143" t="s">
        <v>10</v>
      </c>
      <c r="E145" s="144">
        <v>1</v>
      </c>
      <c r="F145" s="143" t="s">
        <v>282</v>
      </c>
      <c r="G145" s="143" t="s">
        <v>316</v>
      </c>
      <c r="H145" s="144"/>
      <c r="I145" s="147">
        <f>I146</f>
        <v>5855.1</v>
      </c>
      <c r="J145" s="147">
        <f>J146</f>
        <v>5855.1</v>
      </c>
      <c r="K145" s="147">
        <f>K146</f>
        <v>2808.8</v>
      </c>
    </row>
    <row r="146" spans="1:11" ht="31.5">
      <c r="A146" s="148" t="s">
        <v>127</v>
      </c>
      <c r="B146" s="143" t="s">
        <v>13</v>
      </c>
      <c r="C146" s="143" t="s">
        <v>22</v>
      </c>
      <c r="D146" s="143" t="s">
        <v>10</v>
      </c>
      <c r="E146" s="144">
        <v>1</v>
      </c>
      <c r="F146" s="143" t="s">
        <v>282</v>
      </c>
      <c r="G146" s="143" t="s">
        <v>316</v>
      </c>
      <c r="H146" s="144">
        <v>240</v>
      </c>
      <c r="I146" s="147">
        <f>'Приложение 6'!J137</f>
        <v>5855.1</v>
      </c>
      <c r="J146" s="147">
        <f>'Приложение 6'!K137</f>
        <v>5855.1</v>
      </c>
      <c r="K146" s="147">
        <f>'Приложение 6'!L137</f>
        <v>2808.8</v>
      </c>
    </row>
    <row r="147" spans="1:11" ht="15.75">
      <c r="A147" s="148" t="s">
        <v>537</v>
      </c>
      <c r="B147" s="143" t="s">
        <v>13</v>
      </c>
      <c r="C147" s="143" t="s">
        <v>22</v>
      </c>
      <c r="D147" s="143" t="s">
        <v>10</v>
      </c>
      <c r="E147" s="144">
        <v>1</v>
      </c>
      <c r="F147" s="143" t="s">
        <v>282</v>
      </c>
      <c r="G147" s="143" t="s">
        <v>538</v>
      </c>
      <c r="H147" s="144"/>
      <c r="I147" s="147">
        <f>I148</f>
        <v>13532.8</v>
      </c>
      <c r="J147" s="147">
        <f>J148</f>
        <v>13532.8</v>
      </c>
      <c r="K147" s="147">
        <f>K148</f>
        <v>12615</v>
      </c>
    </row>
    <row r="148" spans="1:11" ht="15.75">
      <c r="A148" s="148" t="s">
        <v>373</v>
      </c>
      <c r="B148" s="143" t="s">
        <v>13</v>
      </c>
      <c r="C148" s="143" t="s">
        <v>22</v>
      </c>
      <c r="D148" s="143" t="s">
        <v>10</v>
      </c>
      <c r="E148" s="144">
        <v>1</v>
      </c>
      <c r="F148" s="143" t="s">
        <v>282</v>
      </c>
      <c r="G148" s="143" t="s">
        <v>538</v>
      </c>
      <c r="H148" s="144">
        <v>410</v>
      </c>
      <c r="I148" s="147">
        <f>'Приложение 6'!J139</f>
        <v>13532.8</v>
      </c>
      <c r="J148" s="147">
        <f>'Приложение 6'!K139</f>
        <v>13532.8</v>
      </c>
      <c r="K148" s="147">
        <f>'Приложение 6'!L139</f>
        <v>12615</v>
      </c>
    </row>
    <row r="149" spans="1:11" ht="15.75">
      <c r="A149" s="148" t="s">
        <v>86</v>
      </c>
      <c r="B149" s="143" t="s">
        <v>13</v>
      </c>
      <c r="C149" s="143" t="s">
        <v>22</v>
      </c>
      <c r="D149" s="143" t="s">
        <v>10</v>
      </c>
      <c r="E149" s="144">
        <v>1</v>
      </c>
      <c r="F149" s="143" t="s">
        <v>282</v>
      </c>
      <c r="G149" s="143" t="s">
        <v>317</v>
      </c>
      <c r="H149" s="144"/>
      <c r="I149" s="147">
        <f>I150</f>
        <v>2206.8000000000002</v>
      </c>
      <c r="J149" s="147">
        <f>J150</f>
        <v>2206.8000000000002</v>
      </c>
      <c r="K149" s="147">
        <f>K150</f>
        <v>1676.2</v>
      </c>
    </row>
    <row r="150" spans="1:11" ht="31.5">
      <c r="A150" s="148" t="s">
        <v>127</v>
      </c>
      <c r="B150" s="143" t="s">
        <v>13</v>
      </c>
      <c r="C150" s="143" t="s">
        <v>22</v>
      </c>
      <c r="D150" s="143" t="s">
        <v>10</v>
      </c>
      <c r="E150" s="144">
        <v>1</v>
      </c>
      <c r="F150" s="143" t="s">
        <v>282</v>
      </c>
      <c r="G150" s="143" t="s">
        <v>317</v>
      </c>
      <c r="H150" s="144">
        <v>240</v>
      </c>
      <c r="I150" s="147">
        <f>'Приложение 6'!J141</f>
        <v>2206.8000000000002</v>
      </c>
      <c r="J150" s="147">
        <f>'Приложение 6'!K141</f>
        <v>2206.8000000000002</v>
      </c>
      <c r="K150" s="147">
        <f>'Приложение 6'!L141</f>
        <v>1676.2</v>
      </c>
    </row>
    <row r="151" spans="1:11" ht="15.75">
      <c r="A151" s="148" t="s">
        <v>412</v>
      </c>
      <c r="B151" s="143" t="s">
        <v>13</v>
      </c>
      <c r="C151" s="143" t="s">
        <v>33</v>
      </c>
      <c r="D151" s="143"/>
      <c r="E151" s="143"/>
      <c r="F151" s="143"/>
      <c r="G151" s="143"/>
      <c r="H151" s="144" t="s">
        <v>6</v>
      </c>
      <c r="I151" s="147">
        <f>I152</f>
        <v>74.3</v>
      </c>
      <c r="J151" s="147">
        <f t="shared" ref="J151:K154" si="20">J152</f>
        <v>73.400000000000006</v>
      </c>
      <c r="K151" s="147">
        <f t="shared" si="20"/>
        <v>73.400000000000006</v>
      </c>
    </row>
    <row r="152" spans="1:11" ht="15.75">
      <c r="A152" s="148" t="s">
        <v>54</v>
      </c>
      <c r="B152" s="143" t="s">
        <v>13</v>
      </c>
      <c r="C152" s="143" t="s">
        <v>33</v>
      </c>
      <c r="D152" s="143" t="s">
        <v>42</v>
      </c>
      <c r="E152" s="144">
        <v>0</v>
      </c>
      <c r="F152" s="143" t="s">
        <v>282</v>
      </c>
      <c r="G152" s="143" t="s">
        <v>362</v>
      </c>
      <c r="H152" s="144"/>
      <c r="I152" s="147">
        <f>I153</f>
        <v>74.3</v>
      </c>
      <c r="J152" s="147">
        <f t="shared" si="20"/>
        <v>73.400000000000006</v>
      </c>
      <c r="K152" s="147">
        <f t="shared" si="20"/>
        <v>73.400000000000006</v>
      </c>
    </row>
    <row r="153" spans="1:11" ht="15.75">
      <c r="A153" s="148" t="s">
        <v>55</v>
      </c>
      <c r="B153" s="143" t="s">
        <v>13</v>
      </c>
      <c r="C153" s="143" t="s">
        <v>33</v>
      </c>
      <c r="D153" s="143" t="s">
        <v>42</v>
      </c>
      <c r="E153" s="144">
        <v>9</v>
      </c>
      <c r="F153" s="143" t="s">
        <v>282</v>
      </c>
      <c r="G153" s="143" t="s">
        <v>362</v>
      </c>
      <c r="H153" s="144"/>
      <c r="I153" s="147">
        <f>I154</f>
        <v>74.3</v>
      </c>
      <c r="J153" s="147">
        <f t="shared" si="20"/>
        <v>73.400000000000006</v>
      </c>
      <c r="K153" s="147">
        <f t="shared" si="20"/>
        <v>73.400000000000006</v>
      </c>
    </row>
    <row r="154" spans="1:11" ht="31.5">
      <c r="A154" s="148" t="s">
        <v>413</v>
      </c>
      <c r="B154" s="143" t="s">
        <v>13</v>
      </c>
      <c r="C154" s="143" t="s">
        <v>33</v>
      </c>
      <c r="D154" s="143" t="s">
        <v>42</v>
      </c>
      <c r="E154" s="144">
        <v>9</v>
      </c>
      <c r="F154" s="143" t="s">
        <v>282</v>
      </c>
      <c r="G154" s="143" t="s">
        <v>414</v>
      </c>
      <c r="H154" s="144"/>
      <c r="I154" s="147">
        <f>I155</f>
        <v>74.3</v>
      </c>
      <c r="J154" s="147">
        <f t="shared" si="20"/>
        <v>73.400000000000006</v>
      </c>
      <c r="K154" s="147">
        <f t="shared" si="20"/>
        <v>73.400000000000006</v>
      </c>
    </row>
    <row r="155" spans="1:11" ht="31.5">
      <c r="A155" s="148" t="s">
        <v>127</v>
      </c>
      <c r="B155" s="143" t="s">
        <v>13</v>
      </c>
      <c r="C155" s="143" t="s">
        <v>33</v>
      </c>
      <c r="D155" s="143" t="s">
        <v>42</v>
      </c>
      <c r="E155" s="144">
        <v>9</v>
      </c>
      <c r="F155" s="143" t="s">
        <v>282</v>
      </c>
      <c r="G155" s="143" t="s">
        <v>414</v>
      </c>
      <c r="H155" s="144">
        <v>240</v>
      </c>
      <c r="I155" s="147">
        <f>'Приложение 6'!J146</f>
        <v>74.3</v>
      </c>
      <c r="J155" s="147">
        <f>'Приложение 6'!K146</f>
        <v>73.400000000000006</v>
      </c>
      <c r="K155" s="147">
        <f>'Приложение 6'!L146</f>
        <v>73.400000000000006</v>
      </c>
    </row>
    <row r="156" spans="1:11" ht="15.75">
      <c r="A156" s="146" t="s">
        <v>39</v>
      </c>
      <c r="B156" s="143" t="s">
        <v>13</v>
      </c>
      <c r="C156" s="143" t="s">
        <v>40</v>
      </c>
      <c r="D156" s="143"/>
      <c r="E156" s="143"/>
      <c r="F156" s="143"/>
      <c r="G156" s="143"/>
      <c r="H156" s="144" t="s">
        <v>6</v>
      </c>
      <c r="I156" s="145">
        <f>I157</f>
        <v>30</v>
      </c>
      <c r="J156" s="145">
        <f t="shared" ref="J156:K158" si="21">J157</f>
        <v>30</v>
      </c>
      <c r="K156" s="145">
        <f t="shared" si="21"/>
        <v>30</v>
      </c>
    </row>
    <row r="157" spans="1:11" ht="47.25">
      <c r="A157" s="148" t="s">
        <v>471</v>
      </c>
      <c r="B157" s="143" t="s">
        <v>13</v>
      </c>
      <c r="C157" s="143" t="s">
        <v>40</v>
      </c>
      <c r="D157" s="143" t="s">
        <v>13</v>
      </c>
      <c r="E157" s="144">
        <v>0</v>
      </c>
      <c r="F157" s="143" t="s">
        <v>282</v>
      </c>
      <c r="G157" s="143" t="s">
        <v>362</v>
      </c>
      <c r="H157" s="144"/>
      <c r="I157" s="147">
        <f>I158</f>
        <v>30</v>
      </c>
      <c r="J157" s="147">
        <f t="shared" si="21"/>
        <v>30</v>
      </c>
      <c r="K157" s="147">
        <f t="shared" si="21"/>
        <v>30</v>
      </c>
    </row>
    <row r="158" spans="1:11" s="6" customFormat="1" ht="15.75">
      <c r="A158" s="148" t="s">
        <v>104</v>
      </c>
      <c r="B158" s="143" t="s">
        <v>13</v>
      </c>
      <c r="C158" s="143" t="s">
        <v>40</v>
      </c>
      <c r="D158" s="143" t="s">
        <v>13</v>
      </c>
      <c r="E158" s="144">
        <v>0</v>
      </c>
      <c r="F158" s="143" t="s">
        <v>282</v>
      </c>
      <c r="G158" s="143" t="s">
        <v>318</v>
      </c>
      <c r="H158" s="144"/>
      <c r="I158" s="147">
        <f>I159</f>
        <v>30</v>
      </c>
      <c r="J158" s="147">
        <f t="shared" si="21"/>
        <v>30</v>
      </c>
      <c r="K158" s="147">
        <f t="shared" si="21"/>
        <v>30</v>
      </c>
    </row>
    <row r="159" spans="1:11" ht="31.5">
      <c r="A159" s="148" t="s">
        <v>415</v>
      </c>
      <c r="B159" s="143" t="s">
        <v>13</v>
      </c>
      <c r="C159" s="143" t="s">
        <v>40</v>
      </c>
      <c r="D159" s="143" t="s">
        <v>13</v>
      </c>
      <c r="E159" s="144">
        <v>0</v>
      </c>
      <c r="F159" s="143" t="s">
        <v>282</v>
      </c>
      <c r="G159" s="143" t="s">
        <v>318</v>
      </c>
      <c r="H159" s="144">
        <v>810</v>
      </c>
      <c r="I159" s="147">
        <f>'Приложение 6'!J150</f>
        <v>30</v>
      </c>
      <c r="J159" s="147">
        <f>'Приложение 6'!K150</f>
        <v>30</v>
      </c>
      <c r="K159" s="147">
        <f>'Приложение 6'!L150</f>
        <v>30</v>
      </c>
    </row>
    <row r="160" spans="1:11" ht="15.75">
      <c r="A160" s="152" t="s">
        <v>416</v>
      </c>
      <c r="B160" s="143" t="s">
        <v>14</v>
      </c>
      <c r="C160" s="144" t="s">
        <v>7</v>
      </c>
      <c r="D160" s="143"/>
      <c r="E160" s="144"/>
      <c r="F160" s="143"/>
      <c r="G160" s="143"/>
      <c r="H160" s="144"/>
      <c r="I160" s="147">
        <f>I161+I180+I185+I217</f>
        <v>67113.900000000009</v>
      </c>
      <c r="J160" s="147">
        <f>J161+J180+J185+J217</f>
        <v>67164</v>
      </c>
      <c r="K160" s="147">
        <f>K161+K180+K185+K217</f>
        <v>51096.600000000006</v>
      </c>
    </row>
    <row r="161" spans="1:11" s="6" customFormat="1" ht="15.75">
      <c r="A161" s="146" t="s">
        <v>15</v>
      </c>
      <c r="B161" s="143" t="s">
        <v>14</v>
      </c>
      <c r="C161" s="144" t="s">
        <v>9</v>
      </c>
      <c r="D161" s="143" t="s">
        <v>282</v>
      </c>
      <c r="E161" s="144">
        <v>0</v>
      </c>
      <c r="F161" s="143" t="s">
        <v>282</v>
      </c>
      <c r="G161" s="143" t="s">
        <v>362</v>
      </c>
      <c r="H161" s="144"/>
      <c r="I161" s="147">
        <f>I162+I176</f>
        <v>22161.8</v>
      </c>
      <c r="J161" s="147">
        <f>J162+J176</f>
        <v>22161.799999999996</v>
      </c>
      <c r="K161" s="147">
        <f>K162+K176</f>
        <v>11602.800000000001</v>
      </c>
    </row>
    <row r="162" spans="1:11" s="6" customFormat="1" ht="31.5">
      <c r="A162" s="148" t="s">
        <v>372</v>
      </c>
      <c r="B162" s="143" t="s">
        <v>14</v>
      </c>
      <c r="C162" s="143" t="s">
        <v>9</v>
      </c>
      <c r="D162" s="143" t="s">
        <v>14</v>
      </c>
      <c r="E162" s="144">
        <v>0</v>
      </c>
      <c r="F162" s="143" t="s">
        <v>282</v>
      </c>
      <c r="G162" s="143" t="s">
        <v>362</v>
      </c>
      <c r="H162" s="144"/>
      <c r="I162" s="147">
        <f>I163+I166+I172</f>
        <v>20881.899999999998</v>
      </c>
      <c r="J162" s="147">
        <f>J163+J166+J172</f>
        <v>20858.699999999997</v>
      </c>
      <c r="K162" s="147">
        <f>K163+K166+K172</f>
        <v>10299.700000000001</v>
      </c>
    </row>
    <row r="163" spans="1:11" s="6" customFormat="1" ht="15.75">
      <c r="A163" s="148" t="s">
        <v>60</v>
      </c>
      <c r="B163" s="143" t="s">
        <v>14</v>
      </c>
      <c r="C163" s="143" t="s">
        <v>9</v>
      </c>
      <c r="D163" s="143" t="s">
        <v>14</v>
      </c>
      <c r="E163" s="144">
        <v>1</v>
      </c>
      <c r="F163" s="143" t="s">
        <v>282</v>
      </c>
      <c r="G163" s="143" t="s">
        <v>362</v>
      </c>
      <c r="H163" s="144"/>
      <c r="I163" s="147">
        <f t="shared" ref="I163:K164" si="22">I164</f>
        <v>100</v>
      </c>
      <c r="J163" s="147">
        <f t="shared" si="22"/>
        <v>76.8</v>
      </c>
      <c r="K163" s="147">
        <f t="shared" si="22"/>
        <v>70.2</v>
      </c>
    </row>
    <row r="164" spans="1:11" s="6" customFormat="1" ht="15.75">
      <c r="A164" s="148" t="s">
        <v>129</v>
      </c>
      <c r="B164" s="143" t="s">
        <v>14</v>
      </c>
      <c r="C164" s="143" t="s">
        <v>9</v>
      </c>
      <c r="D164" s="143" t="s">
        <v>14</v>
      </c>
      <c r="E164" s="144">
        <v>1</v>
      </c>
      <c r="F164" s="143" t="s">
        <v>282</v>
      </c>
      <c r="G164" s="143" t="s">
        <v>319</v>
      </c>
      <c r="H164" s="144"/>
      <c r="I164" s="147">
        <f t="shared" si="22"/>
        <v>100</v>
      </c>
      <c r="J164" s="147">
        <f t="shared" si="22"/>
        <v>76.8</v>
      </c>
      <c r="K164" s="147">
        <f t="shared" si="22"/>
        <v>70.2</v>
      </c>
    </row>
    <row r="165" spans="1:11" ht="31.5">
      <c r="A165" s="148" t="s">
        <v>127</v>
      </c>
      <c r="B165" s="143" t="s">
        <v>14</v>
      </c>
      <c r="C165" s="143" t="s">
        <v>9</v>
      </c>
      <c r="D165" s="143" t="s">
        <v>14</v>
      </c>
      <c r="E165" s="144">
        <v>1</v>
      </c>
      <c r="F165" s="143" t="s">
        <v>282</v>
      </c>
      <c r="G165" s="143" t="s">
        <v>319</v>
      </c>
      <c r="H165" s="144">
        <v>240</v>
      </c>
      <c r="I165" s="147">
        <f>'Приложение 6'!J156</f>
        <v>100</v>
      </c>
      <c r="J165" s="147">
        <f>'Приложение 6'!K156</f>
        <v>76.8</v>
      </c>
      <c r="K165" s="147">
        <f>'Приложение 6'!L156</f>
        <v>70.2</v>
      </c>
    </row>
    <row r="166" spans="1:11" ht="15.75">
      <c r="A166" s="148" t="s">
        <v>539</v>
      </c>
      <c r="B166" s="143" t="s">
        <v>14</v>
      </c>
      <c r="C166" s="143" t="s">
        <v>9</v>
      </c>
      <c r="D166" s="143" t="s">
        <v>14</v>
      </c>
      <c r="E166" s="144">
        <v>5</v>
      </c>
      <c r="F166" s="143" t="s">
        <v>282</v>
      </c>
      <c r="G166" s="143" t="s">
        <v>362</v>
      </c>
      <c r="H166" s="144"/>
      <c r="I166" s="147">
        <f>I167+I170</f>
        <v>2536.3000000000002</v>
      </c>
      <c r="J166" s="147">
        <f>J167+J170</f>
        <v>2536.3000000000002</v>
      </c>
      <c r="K166" s="147">
        <f>K167+K170</f>
        <v>2515.1</v>
      </c>
    </row>
    <row r="167" spans="1:11" s="6" customFormat="1" ht="15.75">
      <c r="A167" s="148" t="s">
        <v>540</v>
      </c>
      <c r="B167" s="143" t="s">
        <v>14</v>
      </c>
      <c r="C167" s="143" t="s">
        <v>9</v>
      </c>
      <c r="D167" s="143" t="s">
        <v>14</v>
      </c>
      <c r="E167" s="144">
        <v>5</v>
      </c>
      <c r="F167" s="143" t="s">
        <v>282</v>
      </c>
      <c r="G167" s="143" t="s">
        <v>541</v>
      </c>
      <c r="H167" s="144"/>
      <c r="I167" s="147">
        <f>SUM(I168:I169)</f>
        <v>997.9</v>
      </c>
      <c r="J167" s="147">
        <f>SUM(J168:J169)</f>
        <v>998.9</v>
      </c>
      <c r="K167" s="147">
        <f>SUM(K168:K169)</f>
        <v>977.69999999999993</v>
      </c>
    </row>
    <row r="168" spans="1:11" s="6" customFormat="1" ht="31.5">
      <c r="A168" s="148" t="s">
        <v>127</v>
      </c>
      <c r="B168" s="143" t="s">
        <v>14</v>
      </c>
      <c r="C168" s="143" t="s">
        <v>9</v>
      </c>
      <c r="D168" s="143" t="s">
        <v>14</v>
      </c>
      <c r="E168" s="144">
        <v>5</v>
      </c>
      <c r="F168" s="143" t="s">
        <v>282</v>
      </c>
      <c r="G168" s="143" t="s">
        <v>541</v>
      </c>
      <c r="H168" s="144">
        <v>240</v>
      </c>
      <c r="I168" s="147">
        <f>'Приложение 6'!J159</f>
        <v>997.9</v>
      </c>
      <c r="J168" s="147">
        <f>'Приложение 6'!K159</f>
        <v>991.4</v>
      </c>
      <c r="K168" s="147">
        <f>'Приложение 6'!L159</f>
        <v>970.3</v>
      </c>
    </row>
    <row r="169" spans="1:11" s="6" customFormat="1" ht="15.75">
      <c r="A169" s="146" t="s">
        <v>107</v>
      </c>
      <c r="B169" s="143" t="s">
        <v>14</v>
      </c>
      <c r="C169" s="143" t="s">
        <v>9</v>
      </c>
      <c r="D169" s="143" t="s">
        <v>14</v>
      </c>
      <c r="E169" s="144">
        <v>5</v>
      </c>
      <c r="F169" s="143" t="s">
        <v>282</v>
      </c>
      <c r="G169" s="143" t="s">
        <v>541</v>
      </c>
      <c r="H169" s="144">
        <v>850</v>
      </c>
      <c r="I169" s="147">
        <f>'Приложение 6'!J160</f>
        <v>0</v>
      </c>
      <c r="J169" s="147">
        <f>'Приложение 6'!K160</f>
        <v>7.5</v>
      </c>
      <c r="K169" s="147">
        <f>'Приложение 6'!L160</f>
        <v>7.4</v>
      </c>
    </row>
    <row r="170" spans="1:11" s="6" customFormat="1" ht="31.5">
      <c r="A170" s="148" t="s">
        <v>542</v>
      </c>
      <c r="B170" s="143" t="s">
        <v>14</v>
      </c>
      <c r="C170" s="143" t="s">
        <v>9</v>
      </c>
      <c r="D170" s="143" t="s">
        <v>14</v>
      </c>
      <c r="E170" s="144">
        <v>5</v>
      </c>
      <c r="F170" s="143" t="s">
        <v>282</v>
      </c>
      <c r="G170" s="143" t="s">
        <v>543</v>
      </c>
      <c r="H170" s="144"/>
      <c r="I170" s="147">
        <f>I171</f>
        <v>1538.4</v>
      </c>
      <c r="J170" s="147">
        <f>J171</f>
        <v>1537.4</v>
      </c>
      <c r="K170" s="147">
        <f>K171</f>
        <v>1537.4</v>
      </c>
    </row>
    <row r="171" spans="1:11" ht="31.5">
      <c r="A171" s="148" t="s">
        <v>127</v>
      </c>
      <c r="B171" s="143" t="s">
        <v>14</v>
      </c>
      <c r="C171" s="143" t="s">
        <v>9</v>
      </c>
      <c r="D171" s="143" t="s">
        <v>14</v>
      </c>
      <c r="E171" s="144">
        <v>5</v>
      </c>
      <c r="F171" s="143" t="s">
        <v>282</v>
      </c>
      <c r="G171" s="143" t="s">
        <v>543</v>
      </c>
      <c r="H171" s="144">
        <v>240</v>
      </c>
      <c r="I171" s="147">
        <f>'Приложение 6'!J162</f>
        <v>1538.4</v>
      </c>
      <c r="J171" s="147">
        <f>'Приложение 6'!K162</f>
        <v>1537.4</v>
      </c>
      <c r="K171" s="147">
        <f>'Приложение 6'!L162</f>
        <v>1537.4</v>
      </c>
    </row>
    <row r="172" spans="1:11" s="6" customFormat="1" ht="31.5">
      <c r="A172" s="148" t="s">
        <v>320</v>
      </c>
      <c r="B172" s="143" t="s">
        <v>14</v>
      </c>
      <c r="C172" s="143" t="s">
        <v>9</v>
      </c>
      <c r="D172" s="143" t="s">
        <v>14</v>
      </c>
      <c r="E172" s="144">
        <v>6</v>
      </c>
      <c r="F172" s="143" t="s">
        <v>282</v>
      </c>
      <c r="G172" s="143" t="s">
        <v>362</v>
      </c>
      <c r="H172" s="144"/>
      <c r="I172" s="147">
        <f>I173</f>
        <v>18245.599999999999</v>
      </c>
      <c r="J172" s="147">
        <f>J173</f>
        <v>18245.599999999999</v>
      </c>
      <c r="K172" s="147">
        <f>K173</f>
        <v>7714.4000000000005</v>
      </c>
    </row>
    <row r="173" spans="1:11" s="6" customFormat="1" ht="15.75">
      <c r="A173" s="148" t="s">
        <v>124</v>
      </c>
      <c r="B173" s="143" t="s">
        <v>14</v>
      </c>
      <c r="C173" s="143" t="s">
        <v>9</v>
      </c>
      <c r="D173" s="143" t="s">
        <v>14</v>
      </c>
      <c r="E173" s="144">
        <v>6</v>
      </c>
      <c r="F173" s="143" t="s">
        <v>282</v>
      </c>
      <c r="G173" s="143" t="s">
        <v>321</v>
      </c>
      <c r="H173" s="144"/>
      <c r="I173" s="147">
        <f>SUM(I174:I175)</f>
        <v>18245.599999999999</v>
      </c>
      <c r="J173" s="147">
        <f>SUM(J174:J175)</f>
        <v>18245.599999999999</v>
      </c>
      <c r="K173" s="147">
        <f>SUM(K174:K175)</f>
        <v>7714.4000000000005</v>
      </c>
    </row>
    <row r="174" spans="1:11" ht="15.75">
      <c r="A174" s="148" t="s">
        <v>373</v>
      </c>
      <c r="B174" s="143" t="s">
        <v>14</v>
      </c>
      <c r="C174" s="143" t="s">
        <v>9</v>
      </c>
      <c r="D174" s="143" t="s">
        <v>14</v>
      </c>
      <c r="E174" s="144">
        <v>6</v>
      </c>
      <c r="F174" s="143" t="s">
        <v>282</v>
      </c>
      <c r="G174" s="143" t="s">
        <v>321</v>
      </c>
      <c r="H174" s="144">
        <v>410</v>
      </c>
      <c r="I174" s="147">
        <f>'Приложение 6'!J165</f>
        <v>18245.599999999999</v>
      </c>
      <c r="J174" s="147">
        <f>'Приложение 6'!K165</f>
        <v>16738.8</v>
      </c>
      <c r="K174" s="147">
        <f>'Приложение 6'!L165</f>
        <v>6207.6</v>
      </c>
    </row>
    <row r="175" spans="1:11" ht="15.75">
      <c r="A175" s="146" t="s">
        <v>107</v>
      </c>
      <c r="B175" s="143" t="s">
        <v>14</v>
      </c>
      <c r="C175" s="143" t="s">
        <v>9</v>
      </c>
      <c r="D175" s="143" t="s">
        <v>14</v>
      </c>
      <c r="E175" s="144">
        <v>6</v>
      </c>
      <c r="F175" s="143" t="s">
        <v>282</v>
      </c>
      <c r="G175" s="143" t="s">
        <v>321</v>
      </c>
      <c r="H175" s="144">
        <v>850</v>
      </c>
      <c r="I175" s="147">
        <f>'Приложение 6'!J166</f>
        <v>0</v>
      </c>
      <c r="J175" s="147">
        <f>'Приложение 6'!K166</f>
        <v>1506.8</v>
      </c>
      <c r="K175" s="147">
        <f>'Приложение 6'!L166</f>
        <v>1506.8</v>
      </c>
    </row>
    <row r="176" spans="1:11" ht="15.75">
      <c r="A176" s="148" t="s">
        <v>54</v>
      </c>
      <c r="B176" s="143" t="s">
        <v>14</v>
      </c>
      <c r="C176" s="144" t="s">
        <v>9</v>
      </c>
      <c r="D176" s="143" t="s">
        <v>42</v>
      </c>
      <c r="E176" s="144">
        <v>0</v>
      </c>
      <c r="F176" s="143" t="s">
        <v>282</v>
      </c>
      <c r="G176" s="143" t="s">
        <v>362</v>
      </c>
      <c r="H176" s="144"/>
      <c r="I176" s="147">
        <f>I177</f>
        <v>1279.8999999999999</v>
      </c>
      <c r="J176" s="147">
        <f t="shared" ref="J176:K178" si="23">J177</f>
        <v>1303.0999999999999</v>
      </c>
      <c r="K176" s="147">
        <f t="shared" si="23"/>
        <v>1303.0999999999999</v>
      </c>
    </row>
    <row r="177" spans="1:11" ht="15.75">
      <c r="A177" s="148" t="s">
        <v>55</v>
      </c>
      <c r="B177" s="143" t="s">
        <v>14</v>
      </c>
      <c r="C177" s="144" t="s">
        <v>9</v>
      </c>
      <c r="D177" s="143" t="s">
        <v>42</v>
      </c>
      <c r="E177" s="144">
        <v>9</v>
      </c>
      <c r="F177" s="143" t="s">
        <v>282</v>
      </c>
      <c r="G177" s="143" t="s">
        <v>362</v>
      </c>
      <c r="H177" s="144"/>
      <c r="I177" s="147">
        <f>I178</f>
        <v>1279.8999999999999</v>
      </c>
      <c r="J177" s="147">
        <f t="shared" si="23"/>
        <v>1303.0999999999999</v>
      </c>
      <c r="K177" s="147">
        <f t="shared" si="23"/>
        <v>1303.0999999999999</v>
      </c>
    </row>
    <row r="178" spans="1:11" ht="31.5">
      <c r="A178" s="148" t="s">
        <v>102</v>
      </c>
      <c r="B178" s="143" t="s">
        <v>14</v>
      </c>
      <c r="C178" s="144" t="s">
        <v>9</v>
      </c>
      <c r="D178" s="143" t="s">
        <v>42</v>
      </c>
      <c r="E178" s="144">
        <v>9</v>
      </c>
      <c r="F178" s="143" t="s">
        <v>282</v>
      </c>
      <c r="G178" s="143" t="s">
        <v>322</v>
      </c>
      <c r="H178" s="144"/>
      <c r="I178" s="147">
        <f>I179</f>
        <v>1279.8999999999999</v>
      </c>
      <c r="J178" s="147">
        <f t="shared" si="23"/>
        <v>1303.0999999999999</v>
      </c>
      <c r="K178" s="147">
        <f t="shared" si="23"/>
        <v>1303.0999999999999</v>
      </c>
    </row>
    <row r="179" spans="1:11" ht="31.5">
      <c r="A179" s="148" t="s">
        <v>127</v>
      </c>
      <c r="B179" s="143" t="s">
        <v>14</v>
      </c>
      <c r="C179" s="144" t="s">
        <v>9</v>
      </c>
      <c r="D179" s="143" t="s">
        <v>42</v>
      </c>
      <c r="E179" s="144">
        <v>9</v>
      </c>
      <c r="F179" s="143" t="s">
        <v>282</v>
      </c>
      <c r="G179" s="143" t="s">
        <v>322</v>
      </c>
      <c r="H179" s="144">
        <v>240</v>
      </c>
      <c r="I179" s="147">
        <f>'Приложение 6'!J170</f>
        <v>1279.8999999999999</v>
      </c>
      <c r="J179" s="147">
        <f>'Приложение 6'!K170</f>
        <v>1303.0999999999999</v>
      </c>
      <c r="K179" s="147">
        <f>'Приложение 6'!L170</f>
        <v>1303.0999999999999</v>
      </c>
    </row>
    <row r="180" spans="1:11" ht="15.75">
      <c r="A180" s="146" t="s">
        <v>32</v>
      </c>
      <c r="B180" s="143" t="s">
        <v>14</v>
      </c>
      <c r="C180" s="143" t="s">
        <v>11</v>
      </c>
      <c r="D180" s="143"/>
      <c r="E180" s="144"/>
      <c r="F180" s="143"/>
      <c r="G180" s="143"/>
      <c r="H180" s="154"/>
      <c r="I180" s="147">
        <f>I181</f>
        <v>0</v>
      </c>
      <c r="J180" s="147">
        <f t="shared" ref="J180:K183" si="24">J181</f>
        <v>50.1</v>
      </c>
      <c r="K180" s="147">
        <f t="shared" si="24"/>
        <v>50</v>
      </c>
    </row>
    <row r="181" spans="1:11" ht="15.75">
      <c r="A181" s="148" t="s">
        <v>0</v>
      </c>
      <c r="B181" s="143" t="s">
        <v>14</v>
      </c>
      <c r="C181" s="143" t="s">
        <v>11</v>
      </c>
      <c r="D181" s="143" t="s">
        <v>417</v>
      </c>
      <c r="E181" s="144">
        <v>0</v>
      </c>
      <c r="F181" s="143" t="s">
        <v>282</v>
      </c>
      <c r="G181" s="143" t="s">
        <v>362</v>
      </c>
      <c r="H181" s="154"/>
      <c r="I181" s="147">
        <f>I182</f>
        <v>0</v>
      </c>
      <c r="J181" s="147">
        <f t="shared" si="24"/>
        <v>50.1</v>
      </c>
      <c r="K181" s="147">
        <f t="shared" si="24"/>
        <v>50</v>
      </c>
    </row>
    <row r="182" spans="1:11" ht="15.75">
      <c r="A182" s="146" t="s">
        <v>1</v>
      </c>
      <c r="B182" s="143" t="s">
        <v>14</v>
      </c>
      <c r="C182" s="143" t="s">
        <v>11</v>
      </c>
      <c r="D182" s="143" t="s">
        <v>417</v>
      </c>
      <c r="E182" s="144">
        <v>1</v>
      </c>
      <c r="F182" s="143" t="s">
        <v>282</v>
      </c>
      <c r="G182" s="143" t="s">
        <v>362</v>
      </c>
      <c r="H182" s="154"/>
      <c r="I182" s="147">
        <f>I183</f>
        <v>0</v>
      </c>
      <c r="J182" s="147">
        <f t="shared" si="24"/>
        <v>50.1</v>
      </c>
      <c r="K182" s="147">
        <f t="shared" si="24"/>
        <v>50</v>
      </c>
    </row>
    <row r="183" spans="1:11" ht="15.75">
      <c r="A183" s="146" t="s">
        <v>1</v>
      </c>
      <c r="B183" s="143" t="s">
        <v>14</v>
      </c>
      <c r="C183" s="143" t="s">
        <v>11</v>
      </c>
      <c r="D183" s="143" t="s">
        <v>417</v>
      </c>
      <c r="E183" s="144">
        <v>1</v>
      </c>
      <c r="F183" s="143" t="s">
        <v>282</v>
      </c>
      <c r="G183" s="155">
        <v>28810</v>
      </c>
      <c r="H183" s="154"/>
      <c r="I183" s="147">
        <f>I184</f>
        <v>0</v>
      </c>
      <c r="J183" s="147">
        <f t="shared" si="24"/>
        <v>50.1</v>
      </c>
      <c r="K183" s="147">
        <f t="shared" si="24"/>
        <v>50</v>
      </c>
    </row>
    <row r="184" spans="1:11" ht="31.5">
      <c r="A184" s="148" t="s">
        <v>127</v>
      </c>
      <c r="B184" s="143" t="s">
        <v>14</v>
      </c>
      <c r="C184" s="143" t="s">
        <v>11</v>
      </c>
      <c r="D184" s="143" t="s">
        <v>417</v>
      </c>
      <c r="E184" s="144">
        <v>1</v>
      </c>
      <c r="F184" s="143" t="s">
        <v>282</v>
      </c>
      <c r="G184" s="155">
        <v>28810</v>
      </c>
      <c r="H184" s="155">
        <v>240</v>
      </c>
      <c r="I184" s="147">
        <f>'Приложение 6'!J175</f>
        <v>0</v>
      </c>
      <c r="J184" s="147">
        <f>'Приложение 6'!K175</f>
        <v>50.1</v>
      </c>
      <c r="K184" s="147">
        <f>'Приложение 6'!L175</f>
        <v>50</v>
      </c>
    </row>
    <row r="185" spans="1:11" ht="15.75">
      <c r="A185" s="146" t="s">
        <v>3</v>
      </c>
      <c r="B185" s="143" t="s">
        <v>14</v>
      </c>
      <c r="C185" s="144" t="s">
        <v>10</v>
      </c>
      <c r="D185" s="143" t="s">
        <v>8</v>
      </c>
      <c r="E185" s="144"/>
      <c r="F185" s="143"/>
      <c r="G185" s="143"/>
      <c r="H185" s="144"/>
      <c r="I185" s="145">
        <f>I186+I212</f>
        <v>26782</v>
      </c>
      <c r="J185" s="145">
        <f>J186+J212</f>
        <v>26782</v>
      </c>
      <c r="K185" s="145">
        <f>K186+K212</f>
        <v>23769</v>
      </c>
    </row>
    <row r="186" spans="1:11" ht="31.5">
      <c r="A186" s="146" t="s">
        <v>470</v>
      </c>
      <c r="B186" s="143" t="s">
        <v>14</v>
      </c>
      <c r="C186" s="143" t="s">
        <v>10</v>
      </c>
      <c r="D186" s="143" t="s">
        <v>10</v>
      </c>
      <c r="E186" s="144">
        <v>0</v>
      </c>
      <c r="F186" s="143" t="s">
        <v>282</v>
      </c>
      <c r="G186" s="143" t="s">
        <v>362</v>
      </c>
      <c r="H186" s="144"/>
      <c r="I186" s="147">
        <f>I187+I195</f>
        <v>25183</v>
      </c>
      <c r="J186" s="147">
        <f>J187+J195</f>
        <v>25183</v>
      </c>
      <c r="K186" s="147">
        <f>K187+K195</f>
        <v>22241.1</v>
      </c>
    </row>
    <row r="187" spans="1:11" ht="15.75">
      <c r="A187" s="148" t="s">
        <v>62</v>
      </c>
      <c r="B187" s="143" t="s">
        <v>14</v>
      </c>
      <c r="C187" s="143" t="s">
        <v>10</v>
      </c>
      <c r="D187" s="143" t="s">
        <v>10</v>
      </c>
      <c r="E187" s="144">
        <v>2</v>
      </c>
      <c r="F187" s="143" t="s">
        <v>282</v>
      </c>
      <c r="G187" s="143" t="s">
        <v>362</v>
      </c>
      <c r="H187" s="144"/>
      <c r="I187" s="147">
        <f>I188+I190+I193</f>
        <v>10651.300000000001</v>
      </c>
      <c r="J187" s="147">
        <f>J188+J190+J193</f>
        <v>10951.3</v>
      </c>
      <c r="K187" s="147">
        <f>K188+K190+K193</f>
        <v>9132.6999999999989</v>
      </c>
    </row>
    <row r="188" spans="1:11" ht="15.75">
      <c r="A188" s="148" t="s">
        <v>472</v>
      </c>
      <c r="B188" s="143" t="s">
        <v>14</v>
      </c>
      <c r="C188" s="143" t="s">
        <v>10</v>
      </c>
      <c r="D188" s="143" t="s">
        <v>10</v>
      </c>
      <c r="E188" s="144">
        <v>2</v>
      </c>
      <c r="F188" s="143" t="s">
        <v>282</v>
      </c>
      <c r="G188" s="143" t="s">
        <v>473</v>
      </c>
      <c r="H188" s="144"/>
      <c r="I188" s="147">
        <f>I189</f>
        <v>866.59999999999991</v>
      </c>
      <c r="J188" s="147">
        <f>J189</f>
        <v>866.59999999999991</v>
      </c>
      <c r="K188" s="147">
        <f>K189</f>
        <v>701.2</v>
      </c>
    </row>
    <row r="189" spans="1:11" ht="15.75">
      <c r="A189" s="148" t="s">
        <v>373</v>
      </c>
      <c r="B189" s="143" t="s">
        <v>14</v>
      </c>
      <c r="C189" s="143" t="s">
        <v>10</v>
      </c>
      <c r="D189" s="143" t="s">
        <v>10</v>
      </c>
      <c r="E189" s="144">
        <v>2</v>
      </c>
      <c r="F189" s="143" t="s">
        <v>282</v>
      </c>
      <c r="G189" s="143" t="s">
        <v>473</v>
      </c>
      <c r="H189" s="144">
        <v>410</v>
      </c>
      <c r="I189" s="147">
        <f>'Приложение 6'!J180</f>
        <v>866.59999999999991</v>
      </c>
      <c r="J189" s="147">
        <f>'Приложение 6'!K180</f>
        <v>866.59999999999991</v>
      </c>
      <c r="K189" s="147">
        <f>'Приложение 6'!L180</f>
        <v>701.2</v>
      </c>
    </row>
    <row r="190" spans="1:11" ht="15.75">
      <c r="A190" s="148" t="s">
        <v>63</v>
      </c>
      <c r="B190" s="143" t="s">
        <v>14</v>
      </c>
      <c r="C190" s="143" t="s">
        <v>10</v>
      </c>
      <c r="D190" s="143" t="s">
        <v>10</v>
      </c>
      <c r="E190" s="144">
        <v>2</v>
      </c>
      <c r="F190" s="143" t="s">
        <v>282</v>
      </c>
      <c r="G190" s="143" t="s">
        <v>323</v>
      </c>
      <c r="H190" s="144"/>
      <c r="I190" s="147">
        <f>SUM(I191:I192)</f>
        <v>7806</v>
      </c>
      <c r="J190" s="147">
        <f>SUM(J191:J192)</f>
        <v>7806</v>
      </c>
      <c r="K190" s="147">
        <f>SUM(K191:K192)</f>
        <v>6153.2999999999993</v>
      </c>
    </row>
    <row r="191" spans="1:11" ht="31.5">
      <c r="A191" s="148" t="s">
        <v>127</v>
      </c>
      <c r="B191" s="143" t="s">
        <v>14</v>
      </c>
      <c r="C191" s="143" t="s">
        <v>10</v>
      </c>
      <c r="D191" s="143" t="s">
        <v>10</v>
      </c>
      <c r="E191" s="144">
        <v>2</v>
      </c>
      <c r="F191" s="143" t="s">
        <v>282</v>
      </c>
      <c r="G191" s="143" t="s">
        <v>323</v>
      </c>
      <c r="H191" s="144">
        <v>240</v>
      </c>
      <c r="I191" s="147">
        <f>'Приложение 6'!J182</f>
        <v>7806</v>
      </c>
      <c r="J191" s="147">
        <f>'Приложение 6'!K182</f>
        <v>7805.6</v>
      </c>
      <c r="K191" s="147">
        <f>'Приложение 6'!L182</f>
        <v>6152.9</v>
      </c>
    </row>
    <row r="192" spans="1:11" ht="15.75">
      <c r="A192" s="146" t="s">
        <v>107</v>
      </c>
      <c r="B192" s="143" t="s">
        <v>14</v>
      </c>
      <c r="C192" s="143" t="s">
        <v>10</v>
      </c>
      <c r="D192" s="143" t="s">
        <v>10</v>
      </c>
      <c r="E192" s="144">
        <v>2</v>
      </c>
      <c r="F192" s="143" t="s">
        <v>282</v>
      </c>
      <c r="G192" s="143" t="s">
        <v>323</v>
      </c>
      <c r="H192" s="144">
        <v>850</v>
      </c>
      <c r="I192" s="147">
        <f>'Приложение 6'!J183</f>
        <v>0</v>
      </c>
      <c r="J192" s="147">
        <f>'Приложение 6'!K183</f>
        <v>0.4</v>
      </c>
      <c r="K192" s="147">
        <f>'Приложение 6'!L183</f>
        <v>0.4</v>
      </c>
    </row>
    <row r="193" spans="1:11" ht="15.75">
      <c r="A193" s="148" t="s">
        <v>66</v>
      </c>
      <c r="B193" s="143" t="s">
        <v>14</v>
      </c>
      <c r="C193" s="143" t="s">
        <v>10</v>
      </c>
      <c r="D193" s="143" t="s">
        <v>10</v>
      </c>
      <c r="E193" s="144">
        <v>2</v>
      </c>
      <c r="F193" s="143" t="s">
        <v>282</v>
      </c>
      <c r="G193" s="143" t="s">
        <v>324</v>
      </c>
      <c r="H193" s="144"/>
      <c r="I193" s="147">
        <f>I194</f>
        <v>1978.7</v>
      </c>
      <c r="J193" s="147">
        <f>J194</f>
        <v>2278.6999999999998</v>
      </c>
      <c r="K193" s="147">
        <f>K194</f>
        <v>2278.1999999999998</v>
      </c>
    </row>
    <row r="194" spans="1:11" ht="31.5">
      <c r="A194" s="148" t="s">
        <v>127</v>
      </c>
      <c r="B194" s="143" t="s">
        <v>14</v>
      </c>
      <c r="C194" s="143" t="s">
        <v>10</v>
      </c>
      <c r="D194" s="143" t="s">
        <v>10</v>
      </c>
      <c r="E194" s="144">
        <v>2</v>
      </c>
      <c r="F194" s="143" t="s">
        <v>282</v>
      </c>
      <c r="G194" s="143" t="s">
        <v>324</v>
      </c>
      <c r="H194" s="144">
        <v>240</v>
      </c>
      <c r="I194" s="147">
        <f>'Приложение 6'!J185</f>
        <v>1978.7</v>
      </c>
      <c r="J194" s="147">
        <f>'Приложение 6'!K185</f>
        <v>2278.6999999999998</v>
      </c>
      <c r="K194" s="147">
        <f>'Приложение 6'!L185</f>
        <v>2278.1999999999998</v>
      </c>
    </row>
    <row r="195" spans="1:11" ht="31.5">
      <c r="A195" s="148" t="s">
        <v>64</v>
      </c>
      <c r="B195" s="143" t="s">
        <v>14</v>
      </c>
      <c r="C195" s="143" t="s">
        <v>10</v>
      </c>
      <c r="D195" s="143" t="s">
        <v>10</v>
      </c>
      <c r="E195" s="144">
        <v>3</v>
      </c>
      <c r="F195" s="143" t="s">
        <v>282</v>
      </c>
      <c r="G195" s="143" t="s">
        <v>362</v>
      </c>
      <c r="H195" s="144"/>
      <c r="I195" s="147">
        <f>I196+I198+I200+I202+I204+I206+I208+I210</f>
        <v>14531.7</v>
      </c>
      <c r="J195" s="147">
        <f>J196+J198+J200+J202+J204+J206+J208+J210</f>
        <v>14231.7</v>
      </c>
      <c r="K195" s="147">
        <f>K196+K198+K200+K202+K204+K206+K208+K210</f>
        <v>13108.400000000001</v>
      </c>
    </row>
    <row r="196" spans="1:11" ht="15.75">
      <c r="A196" s="148" t="s">
        <v>418</v>
      </c>
      <c r="B196" s="143" t="s">
        <v>14</v>
      </c>
      <c r="C196" s="143" t="s">
        <v>10</v>
      </c>
      <c r="D196" s="143" t="s">
        <v>10</v>
      </c>
      <c r="E196" s="144">
        <v>3</v>
      </c>
      <c r="F196" s="143" t="s">
        <v>282</v>
      </c>
      <c r="G196" s="143" t="s">
        <v>419</v>
      </c>
      <c r="H196" s="144"/>
      <c r="I196" s="147">
        <f>SUM(I197:I197)</f>
        <v>1060</v>
      </c>
      <c r="J196" s="147">
        <f>SUM(J197:J197)</f>
        <v>760</v>
      </c>
      <c r="K196" s="147">
        <f>SUM(K197:K197)</f>
        <v>723</v>
      </c>
    </row>
    <row r="197" spans="1:11" ht="31.5">
      <c r="A197" s="148" t="s">
        <v>127</v>
      </c>
      <c r="B197" s="143" t="s">
        <v>14</v>
      </c>
      <c r="C197" s="143" t="s">
        <v>10</v>
      </c>
      <c r="D197" s="143" t="s">
        <v>10</v>
      </c>
      <c r="E197" s="144">
        <v>3</v>
      </c>
      <c r="F197" s="143" t="s">
        <v>282</v>
      </c>
      <c r="G197" s="143" t="s">
        <v>419</v>
      </c>
      <c r="H197" s="144">
        <v>240</v>
      </c>
      <c r="I197" s="147">
        <f>'Приложение 6'!J188</f>
        <v>1060</v>
      </c>
      <c r="J197" s="147">
        <f>'Приложение 6'!K188</f>
        <v>760</v>
      </c>
      <c r="K197" s="147">
        <f>'Приложение 6'!L188</f>
        <v>723</v>
      </c>
    </row>
    <row r="198" spans="1:11" ht="15.75">
      <c r="A198" s="148" t="s">
        <v>65</v>
      </c>
      <c r="B198" s="143" t="s">
        <v>14</v>
      </c>
      <c r="C198" s="143" t="s">
        <v>10</v>
      </c>
      <c r="D198" s="143" t="s">
        <v>10</v>
      </c>
      <c r="E198" s="144">
        <v>3</v>
      </c>
      <c r="F198" s="143" t="s">
        <v>282</v>
      </c>
      <c r="G198" s="143" t="s">
        <v>325</v>
      </c>
      <c r="H198" s="144"/>
      <c r="I198" s="147">
        <f>I199</f>
        <v>1276.3</v>
      </c>
      <c r="J198" s="147">
        <f>J199</f>
        <v>1289.2</v>
      </c>
      <c r="K198" s="147">
        <f>K199</f>
        <v>1231.4000000000001</v>
      </c>
    </row>
    <row r="199" spans="1:11" ht="31.5">
      <c r="A199" s="148" t="s">
        <v>127</v>
      </c>
      <c r="B199" s="143" t="s">
        <v>14</v>
      </c>
      <c r="C199" s="143" t="s">
        <v>10</v>
      </c>
      <c r="D199" s="143" t="s">
        <v>10</v>
      </c>
      <c r="E199" s="144">
        <v>3</v>
      </c>
      <c r="F199" s="143" t="s">
        <v>282</v>
      </c>
      <c r="G199" s="143" t="s">
        <v>325</v>
      </c>
      <c r="H199" s="144">
        <v>240</v>
      </c>
      <c r="I199" s="147">
        <f>'Приложение 6'!J190</f>
        <v>1276.3</v>
      </c>
      <c r="J199" s="147">
        <f>'Приложение 6'!K190</f>
        <v>1289.2</v>
      </c>
      <c r="K199" s="147">
        <f>'Приложение 6'!L190</f>
        <v>1231.4000000000001</v>
      </c>
    </row>
    <row r="200" spans="1:11" ht="15.75">
      <c r="A200" s="148" t="s">
        <v>67</v>
      </c>
      <c r="B200" s="143" t="s">
        <v>14</v>
      </c>
      <c r="C200" s="143" t="s">
        <v>10</v>
      </c>
      <c r="D200" s="143" t="s">
        <v>10</v>
      </c>
      <c r="E200" s="144">
        <v>3</v>
      </c>
      <c r="F200" s="143" t="s">
        <v>282</v>
      </c>
      <c r="G200" s="144">
        <v>29220</v>
      </c>
      <c r="H200" s="144"/>
      <c r="I200" s="147">
        <f>I201</f>
        <v>820</v>
      </c>
      <c r="J200" s="147">
        <f>J201</f>
        <v>820</v>
      </c>
      <c r="K200" s="147">
        <f>K201</f>
        <v>517.4</v>
      </c>
    </row>
    <row r="201" spans="1:11" ht="31.5">
      <c r="A201" s="148" t="s">
        <v>127</v>
      </c>
      <c r="B201" s="143" t="s">
        <v>14</v>
      </c>
      <c r="C201" s="143" t="s">
        <v>10</v>
      </c>
      <c r="D201" s="143" t="s">
        <v>10</v>
      </c>
      <c r="E201" s="144">
        <v>3</v>
      </c>
      <c r="F201" s="143" t="s">
        <v>282</v>
      </c>
      <c r="G201" s="144">
        <v>29220</v>
      </c>
      <c r="H201" s="144">
        <v>240</v>
      </c>
      <c r="I201" s="147">
        <f>'Приложение 6'!J192</f>
        <v>820</v>
      </c>
      <c r="J201" s="147">
        <f>'Приложение 6'!K192</f>
        <v>820</v>
      </c>
      <c r="K201" s="147">
        <f>'Приложение 6'!L192</f>
        <v>517.4</v>
      </c>
    </row>
    <row r="202" spans="1:11" ht="15.75">
      <c r="A202" s="148" t="s">
        <v>68</v>
      </c>
      <c r="B202" s="143" t="s">
        <v>14</v>
      </c>
      <c r="C202" s="143" t="s">
        <v>10</v>
      </c>
      <c r="D202" s="143" t="s">
        <v>10</v>
      </c>
      <c r="E202" s="144">
        <v>3</v>
      </c>
      <c r="F202" s="143" t="s">
        <v>282</v>
      </c>
      <c r="G202" s="143" t="s">
        <v>326</v>
      </c>
      <c r="H202" s="144"/>
      <c r="I202" s="147">
        <f>I203</f>
        <v>5628.0000000000009</v>
      </c>
      <c r="J202" s="147">
        <f>J203</f>
        <v>6028</v>
      </c>
      <c r="K202" s="147">
        <f>K203</f>
        <v>5444.8</v>
      </c>
    </row>
    <row r="203" spans="1:11" ht="31.5">
      <c r="A203" s="148" t="s">
        <v>127</v>
      </c>
      <c r="B203" s="143" t="s">
        <v>14</v>
      </c>
      <c r="C203" s="143" t="s">
        <v>10</v>
      </c>
      <c r="D203" s="143" t="s">
        <v>10</v>
      </c>
      <c r="E203" s="144">
        <v>3</v>
      </c>
      <c r="F203" s="143" t="s">
        <v>282</v>
      </c>
      <c r="G203" s="143" t="s">
        <v>326</v>
      </c>
      <c r="H203" s="144">
        <v>240</v>
      </c>
      <c r="I203" s="147">
        <f>'Приложение 6'!J194</f>
        <v>5628.0000000000009</v>
      </c>
      <c r="J203" s="147">
        <f>'Приложение 6'!K194</f>
        <v>6028</v>
      </c>
      <c r="K203" s="147">
        <f>'Приложение 6'!L194</f>
        <v>5444.8</v>
      </c>
    </row>
    <row r="204" spans="1:11" ht="15.75">
      <c r="A204" s="148" t="s">
        <v>327</v>
      </c>
      <c r="B204" s="143" t="s">
        <v>14</v>
      </c>
      <c r="C204" s="143" t="s">
        <v>10</v>
      </c>
      <c r="D204" s="143" t="s">
        <v>10</v>
      </c>
      <c r="E204" s="144">
        <v>3</v>
      </c>
      <c r="F204" s="143" t="s">
        <v>282</v>
      </c>
      <c r="G204" s="143" t="s">
        <v>328</v>
      </c>
      <c r="H204" s="144"/>
      <c r="I204" s="147">
        <f>I205</f>
        <v>3064</v>
      </c>
      <c r="J204" s="147">
        <f>J205</f>
        <v>3064</v>
      </c>
      <c r="K204" s="147">
        <f>K205</f>
        <v>3063.8</v>
      </c>
    </row>
    <row r="205" spans="1:11" ht="31.5">
      <c r="A205" s="148" t="s">
        <v>127</v>
      </c>
      <c r="B205" s="143" t="s">
        <v>14</v>
      </c>
      <c r="C205" s="143" t="s">
        <v>10</v>
      </c>
      <c r="D205" s="143" t="s">
        <v>10</v>
      </c>
      <c r="E205" s="144">
        <v>3</v>
      </c>
      <c r="F205" s="143" t="s">
        <v>282</v>
      </c>
      <c r="G205" s="143" t="s">
        <v>328</v>
      </c>
      <c r="H205" s="144">
        <v>240</v>
      </c>
      <c r="I205" s="147">
        <f>'Приложение 6'!J196</f>
        <v>3064</v>
      </c>
      <c r="J205" s="147">
        <f>'Приложение 6'!K196</f>
        <v>3064</v>
      </c>
      <c r="K205" s="147">
        <f>'Приложение 6'!L196</f>
        <v>3063.8</v>
      </c>
    </row>
    <row r="206" spans="1:11" ht="15.75">
      <c r="A206" s="148" t="s">
        <v>87</v>
      </c>
      <c r="B206" s="143" t="s">
        <v>14</v>
      </c>
      <c r="C206" s="143" t="s">
        <v>10</v>
      </c>
      <c r="D206" s="143" t="s">
        <v>10</v>
      </c>
      <c r="E206" s="144">
        <v>3</v>
      </c>
      <c r="F206" s="143" t="s">
        <v>282</v>
      </c>
      <c r="G206" s="143" t="s">
        <v>329</v>
      </c>
      <c r="H206" s="144"/>
      <c r="I206" s="147">
        <f>I207</f>
        <v>200</v>
      </c>
      <c r="J206" s="147">
        <f>J207</f>
        <v>200</v>
      </c>
      <c r="K206" s="147">
        <f>K207</f>
        <v>142.9</v>
      </c>
    </row>
    <row r="207" spans="1:11" ht="31.5">
      <c r="A207" s="148" t="s">
        <v>127</v>
      </c>
      <c r="B207" s="143" t="s">
        <v>14</v>
      </c>
      <c r="C207" s="143" t="s">
        <v>10</v>
      </c>
      <c r="D207" s="143" t="s">
        <v>10</v>
      </c>
      <c r="E207" s="144">
        <v>3</v>
      </c>
      <c r="F207" s="143" t="s">
        <v>282</v>
      </c>
      <c r="G207" s="143" t="s">
        <v>329</v>
      </c>
      <c r="H207" s="144">
        <v>240</v>
      </c>
      <c r="I207" s="147">
        <f>'Приложение 6'!J198</f>
        <v>200</v>
      </c>
      <c r="J207" s="147">
        <f>'Приложение 6'!K198</f>
        <v>200</v>
      </c>
      <c r="K207" s="147">
        <f>'Приложение 6'!L198</f>
        <v>142.9</v>
      </c>
    </row>
    <row r="208" spans="1:11" ht="15.75">
      <c r="A208" s="148" t="s">
        <v>374</v>
      </c>
      <c r="B208" s="143" t="s">
        <v>14</v>
      </c>
      <c r="C208" s="143" t="s">
        <v>10</v>
      </c>
      <c r="D208" s="143" t="s">
        <v>10</v>
      </c>
      <c r="E208" s="144">
        <v>3</v>
      </c>
      <c r="F208" s="143" t="s">
        <v>282</v>
      </c>
      <c r="G208" s="143" t="s">
        <v>375</v>
      </c>
      <c r="H208" s="144"/>
      <c r="I208" s="147">
        <f>I209</f>
        <v>1844.8</v>
      </c>
      <c r="J208" s="147">
        <f>J209</f>
        <v>1431.9</v>
      </c>
      <c r="K208" s="147">
        <f>K209</f>
        <v>1427</v>
      </c>
    </row>
    <row r="209" spans="1:11" ht="31.5">
      <c r="A209" s="148" t="s">
        <v>127</v>
      </c>
      <c r="B209" s="143" t="s">
        <v>14</v>
      </c>
      <c r="C209" s="143" t="s">
        <v>10</v>
      </c>
      <c r="D209" s="143" t="s">
        <v>10</v>
      </c>
      <c r="E209" s="144">
        <v>3</v>
      </c>
      <c r="F209" s="143" t="s">
        <v>282</v>
      </c>
      <c r="G209" s="143" t="s">
        <v>375</v>
      </c>
      <c r="H209" s="144">
        <v>240</v>
      </c>
      <c r="I209" s="147">
        <f>'Приложение 6'!J200</f>
        <v>1844.8</v>
      </c>
      <c r="J209" s="147">
        <f>'Приложение 6'!K200</f>
        <v>1431.9</v>
      </c>
      <c r="K209" s="147">
        <f>'Приложение 6'!L200</f>
        <v>1427</v>
      </c>
    </row>
    <row r="210" spans="1:11" s="6" customFormat="1" ht="15.75">
      <c r="A210" s="148" t="s">
        <v>474</v>
      </c>
      <c r="B210" s="143" t="s">
        <v>14</v>
      </c>
      <c r="C210" s="143" t="s">
        <v>10</v>
      </c>
      <c r="D210" s="143" t="s">
        <v>10</v>
      </c>
      <c r="E210" s="144">
        <v>3</v>
      </c>
      <c r="F210" s="143" t="s">
        <v>282</v>
      </c>
      <c r="G210" s="143" t="s">
        <v>475</v>
      </c>
      <c r="H210" s="144"/>
      <c r="I210" s="147">
        <f>I211</f>
        <v>638.60000000000036</v>
      </c>
      <c r="J210" s="147">
        <f>J211</f>
        <v>638.60000000000036</v>
      </c>
      <c r="K210" s="147">
        <f>K211</f>
        <v>558.1</v>
      </c>
    </row>
    <row r="211" spans="1:11" ht="31.5">
      <c r="A211" s="148" t="s">
        <v>127</v>
      </c>
      <c r="B211" s="143" t="s">
        <v>14</v>
      </c>
      <c r="C211" s="143" t="s">
        <v>10</v>
      </c>
      <c r="D211" s="143" t="s">
        <v>10</v>
      </c>
      <c r="E211" s="144">
        <v>3</v>
      </c>
      <c r="F211" s="143" t="s">
        <v>282</v>
      </c>
      <c r="G211" s="143" t="s">
        <v>475</v>
      </c>
      <c r="H211" s="144">
        <v>240</v>
      </c>
      <c r="I211" s="147">
        <f>'Приложение 6'!J202</f>
        <v>638.60000000000036</v>
      </c>
      <c r="J211" s="147">
        <f>'Приложение 6'!K202</f>
        <v>638.60000000000036</v>
      </c>
      <c r="K211" s="147">
        <f>'Приложение 6'!L202</f>
        <v>558.1</v>
      </c>
    </row>
    <row r="212" spans="1:11" ht="47.25">
      <c r="A212" s="148" t="s">
        <v>478</v>
      </c>
      <c r="B212" s="143" t="s">
        <v>14</v>
      </c>
      <c r="C212" s="143" t="s">
        <v>10</v>
      </c>
      <c r="D212" s="143" t="s">
        <v>371</v>
      </c>
      <c r="E212" s="144">
        <v>0</v>
      </c>
      <c r="F212" s="143" t="s">
        <v>282</v>
      </c>
      <c r="G212" s="143" t="s">
        <v>362</v>
      </c>
      <c r="H212" s="144"/>
      <c r="I212" s="147">
        <f>I213</f>
        <v>1599</v>
      </c>
      <c r="J212" s="147">
        <f t="shared" ref="J212:K215" si="25">J213</f>
        <v>1599</v>
      </c>
      <c r="K212" s="147">
        <f t="shared" si="25"/>
        <v>1527.9</v>
      </c>
    </row>
    <row r="213" spans="1:11" ht="31.5">
      <c r="A213" s="148" t="s">
        <v>479</v>
      </c>
      <c r="B213" s="143" t="s">
        <v>14</v>
      </c>
      <c r="C213" s="143" t="s">
        <v>10</v>
      </c>
      <c r="D213" s="143" t="s">
        <v>371</v>
      </c>
      <c r="E213" s="144">
        <v>1</v>
      </c>
      <c r="F213" s="143" t="s">
        <v>282</v>
      </c>
      <c r="G213" s="143" t="s">
        <v>362</v>
      </c>
      <c r="H213" s="144"/>
      <c r="I213" s="147">
        <f>I214</f>
        <v>1599</v>
      </c>
      <c r="J213" s="147">
        <f t="shared" si="25"/>
        <v>1599</v>
      </c>
      <c r="K213" s="147">
        <f t="shared" si="25"/>
        <v>1527.9</v>
      </c>
    </row>
    <row r="214" spans="1:11" ht="63">
      <c r="A214" s="148" t="s">
        <v>421</v>
      </c>
      <c r="B214" s="143" t="s">
        <v>14</v>
      </c>
      <c r="C214" s="143" t="s">
        <v>10</v>
      </c>
      <c r="D214" s="143" t="s">
        <v>371</v>
      </c>
      <c r="E214" s="144">
        <v>1</v>
      </c>
      <c r="F214" s="143" t="s">
        <v>480</v>
      </c>
      <c r="G214" s="143" t="s">
        <v>362</v>
      </c>
      <c r="H214" s="144"/>
      <c r="I214" s="147">
        <f>I215</f>
        <v>1599</v>
      </c>
      <c r="J214" s="147">
        <f t="shared" si="25"/>
        <v>1599</v>
      </c>
      <c r="K214" s="147">
        <f t="shared" si="25"/>
        <v>1527.9</v>
      </c>
    </row>
    <row r="215" spans="1:11" ht="63">
      <c r="A215" s="148" t="s">
        <v>420</v>
      </c>
      <c r="B215" s="143" t="s">
        <v>14</v>
      </c>
      <c r="C215" s="143" t="s">
        <v>10</v>
      </c>
      <c r="D215" s="143" t="s">
        <v>371</v>
      </c>
      <c r="E215" s="144">
        <v>1</v>
      </c>
      <c r="F215" s="143" t="s">
        <v>480</v>
      </c>
      <c r="G215" s="143" t="s">
        <v>481</v>
      </c>
      <c r="H215" s="144"/>
      <c r="I215" s="147">
        <f>I216</f>
        <v>1599</v>
      </c>
      <c r="J215" s="147">
        <f t="shared" si="25"/>
        <v>1599</v>
      </c>
      <c r="K215" s="147">
        <f t="shared" si="25"/>
        <v>1527.9</v>
      </c>
    </row>
    <row r="216" spans="1:11" ht="31.5">
      <c r="A216" s="156" t="s">
        <v>35</v>
      </c>
      <c r="B216" s="143" t="s">
        <v>14</v>
      </c>
      <c r="C216" s="143" t="s">
        <v>10</v>
      </c>
      <c r="D216" s="143" t="s">
        <v>371</v>
      </c>
      <c r="E216" s="144">
        <v>1</v>
      </c>
      <c r="F216" s="143" t="s">
        <v>480</v>
      </c>
      <c r="G216" s="143" t="s">
        <v>481</v>
      </c>
      <c r="H216" s="144">
        <v>540</v>
      </c>
      <c r="I216" s="147">
        <f>'Приложение 6'!J207</f>
        <v>1599</v>
      </c>
      <c r="J216" s="147">
        <f>'Приложение 6'!K207</f>
        <v>1599</v>
      </c>
      <c r="K216" s="147">
        <f>'Приложение 6'!L207</f>
        <v>1527.9</v>
      </c>
    </row>
    <row r="217" spans="1:11" ht="15.75">
      <c r="A217" s="148" t="s">
        <v>330</v>
      </c>
      <c r="B217" s="143" t="s">
        <v>14</v>
      </c>
      <c r="C217" s="143" t="s">
        <v>14</v>
      </c>
      <c r="D217" s="143" t="s">
        <v>282</v>
      </c>
      <c r="E217" s="144">
        <v>0</v>
      </c>
      <c r="F217" s="143" t="s">
        <v>282</v>
      </c>
      <c r="G217" s="143" t="s">
        <v>362</v>
      </c>
      <c r="H217" s="144"/>
      <c r="I217" s="147">
        <f>I218+I224</f>
        <v>18170.100000000002</v>
      </c>
      <c r="J217" s="147">
        <f>J218+J224</f>
        <v>18170.100000000002</v>
      </c>
      <c r="K217" s="147">
        <f>K218+K224</f>
        <v>15674.800000000001</v>
      </c>
    </row>
    <row r="218" spans="1:11" ht="31.5">
      <c r="A218" s="146" t="s">
        <v>470</v>
      </c>
      <c r="B218" s="143" t="s">
        <v>14</v>
      </c>
      <c r="C218" s="143" t="s">
        <v>14</v>
      </c>
      <c r="D218" s="143" t="s">
        <v>10</v>
      </c>
      <c r="E218" s="144">
        <v>0</v>
      </c>
      <c r="F218" s="143" t="s">
        <v>282</v>
      </c>
      <c r="G218" s="143" t="s">
        <v>362</v>
      </c>
      <c r="H218" s="144"/>
      <c r="I218" s="147">
        <f t="shared" ref="I218:K219" si="26">I219</f>
        <v>17649.100000000002</v>
      </c>
      <c r="J218" s="147">
        <f t="shared" si="26"/>
        <v>17649.100000000002</v>
      </c>
      <c r="K218" s="147">
        <f t="shared" si="26"/>
        <v>15446.6</v>
      </c>
    </row>
    <row r="219" spans="1:11" ht="15.75">
      <c r="A219" s="148" t="s">
        <v>69</v>
      </c>
      <c r="B219" s="143" t="s">
        <v>14</v>
      </c>
      <c r="C219" s="143" t="s">
        <v>14</v>
      </c>
      <c r="D219" s="143" t="s">
        <v>10</v>
      </c>
      <c r="E219" s="144">
        <v>4</v>
      </c>
      <c r="F219" s="143" t="s">
        <v>282</v>
      </c>
      <c r="G219" s="143" t="s">
        <v>362</v>
      </c>
      <c r="H219" s="144"/>
      <c r="I219" s="147">
        <f t="shared" si="26"/>
        <v>17649.100000000002</v>
      </c>
      <c r="J219" s="147">
        <f t="shared" si="26"/>
        <v>17649.100000000002</v>
      </c>
      <c r="K219" s="147">
        <f t="shared" si="26"/>
        <v>15446.6</v>
      </c>
    </row>
    <row r="220" spans="1:11" ht="15.75">
      <c r="A220" s="148" t="s">
        <v>70</v>
      </c>
      <c r="B220" s="143" t="s">
        <v>14</v>
      </c>
      <c r="C220" s="143" t="s">
        <v>14</v>
      </c>
      <c r="D220" s="143" t="s">
        <v>10</v>
      </c>
      <c r="E220" s="144">
        <v>4</v>
      </c>
      <c r="F220" s="143" t="s">
        <v>282</v>
      </c>
      <c r="G220" s="143" t="s">
        <v>331</v>
      </c>
      <c r="H220" s="144"/>
      <c r="I220" s="147">
        <f>SUM(I221:I223)</f>
        <v>17649.100000000002</v>
      </c>
      <c r="J220" s="147">
        <f>SUM(J221:J223)</f>
        <v>17649.100000000002</v>
      </c>
      <c r="K220" s="147">
        <f>SUM(K221:K223)</f>
        <v>15446.6</v>
      </c>
    </row>
    <row r="221" spans="1:11" ht="15.75">
      <c r="A221" s="146" t="s">
        <v>105</v>
      </c>
      <c r="B221" s="143" t="s">
        <v>14</v>
      </c>
      <c r="C221" s="143" t="s">
        <v>14</v>
      </c>
      <c r="D221" s="143" t="s">
        <v>10</v>
      </c>
      <c r="E221" s="144">
        <v>4</v>
      </c>
      <c r="F221" s="143" t="s">
        <v>282</v>
      </c>
      <c r="G221" s="143" t="s">
        <v>331</v>
      </c>
      <c r="H221" s="144">
        <v>110</v>
      </c>
      <c r="I221" s="147">
        <f>'Приложение 6'!J212</f>
        <v>14038.2</v>
      </c>
      <c r="J221" s="147">
        <f>'Приложение 6'!K212</f>
        <v>14038.2</v>
      </c>
      <c r="K221" s="147">
        <f>'Приложение 6'!L212</f>
        <v>12296</v>
      </c>
    </row>
    <row r="222" spans="1:11" ht="31.5">
      <c r="A222" s="148" t="s">
        <v>127</v>
      </c>
      <c r="B222" s="143" t="s">
        <v>14</v>
      </c>
      <c r="C222" s="143" t="s">
        <v>14</v>
      </c>
      <c r="D222" s="143" t="s">
        <v>10</v>
      </c>
      <c r="E222" s="144">
        <v>4</v>
      </c>
      <c r="F222" s="143" t="s">
        <v>282</v>
      </c>
      <c r="G222" s="143" t="s">
        <v>331</v>
      </c>
      <c r="H222" s="144">
        <v>240</v>
      </c>
      <c r="I222" s="147">
        <f>'Приложение 6'!J213</f>
        <v>3563.9</v>
      </c>
      <c r="J222" s="147">
        <f>'Приложение 6'!K213</f>
        <v>3563.9</v>
      </c>
      <c r="K222" s="147">
        <f>'Приложение 6'!L213</f>
        <v>3108.6</v>
      </c>
    </row>
    <row r="223" spans="1:11" ht="15.75">
      <c r="A223" s="146" t="s">
        <v>107</v>
      </c>
      <c r="B223" s="143" t="s">
        <v>14</v>
      </c>
      <c r="C223" s="143" t="s">
        <v>14</v>
      </c>
      <c r="D223" s="143" t="s">
        <v>10</v>
      </c>
      <c r="E223" s="144">
        <v>4</v>
      </c>
      <c r="F223" s="143" t="s">
        <v>282</v>
      </c>
      <c r="G223" s="143" t="s">
        <v>331</v>
      </c>
      <c r="H223" s="144">
        <v>850</v>
      </c>
      <c r="I223" s="147">
        <f>'Приложение 6'!J214</f>
        <v>47</v>
      </c>
      <c r="J223" s="147">
        <f>'Приложение 6'!K214</f>
        <v>47</v>
      </c>
      <c r="K223" s="147">
        <f>'Приложение 6'!L214</f>
        <v>42</v>
      </c>
    </row>
    <row r="224" spans="1:11" ht="31.5">
      <c r="A224" s="146" t="s">
        <v>122</v>
      </c>
      <c r="B224" s="143" t="s">
        <v>14</v>
      </c>
      <c r="C224" s="143" t="s">
        <v>14</v>
      </c>
      <c r="D224" s="143" t="s">
        <v>16</v>
      </c>
      <c r="E224" s="144">
        <v>0</v>
      </c>
      <c r="F224" s="143" t="s">
        <v>282</v>
      </c>
      <c r="G224" s="143" t="s">
        <v>362</v>
      </c>
      <c r="H224" s="144"/>
      <c r="I224" s="147">
        <f>I225</f>
        <v>521</v>
      </c>
      <c r="J224" s="147">
        <f>J225</f>
        <v>521</v>
      </c>
      <c r="K224" s="147">
        <f>K225</f>
        <v>228.20000000000002</v>
      </c>
    </row>
    <row r="225" spans="1:11" ht="15.75">
      <c r="A225" s="146" t="s">
        <v>332</v>
      </c>
      <c r="B225" s="143" t="s">
        <v>14</v>
      </c>
      <c r="C225" s="143" t="s">
        <v>14</v>
      </c>
      <c r="D225" s="143" t="s">
        <v>16</v>
      </c>
      <c r="E225" s="144">
        <v>2</v>
      </c>
      <c r="F225" s="143" t="s">
        <v>282</v>
      </c>
      <c r="G225" s="143" t="s">
        <v>362</v>
      </c>
      <c r="H225" s="144"/>
      <c r="I225" s="147">
        <f>I226+I229</f>
        <v>521</v>
      </c>
      <c r="J225" s="147">
        <f>J226+J229</f>
        <v>521</v>
      </c>
      <c r="K225" s="147">
        <f>K226+K229</f>
        <v>228.20000000000002</v>
      </c>
    </row>
    <row r="226" spans="1:11" ht="15.75">
      <c r="A226" s="146" t="s">
        <v>298</v>
      </c>
      <c r="B226" s="143" t="s">
        <v>14</v>
      </c>
      <c r="C226" s="143" t="s">
        <v>14</v>
      </c>
      <c r="D226" s="143" t="s">
        <v>16</v>
      </c>
      <c r="E226" s="144">
        <v>2</v>
      </c>
      <c r="F226" s="143" t="s">
        <v>9</v>
      </c>
      <c r="G226" s="143" t="s">
        <v>362</v>
      </c>
      <c r="H226" s="144"/>
      <c r="I226" s="147">
        <f t="shared" ref="I226:K227" si="27">I227</f>
        <v>301</v>
      </c>
      <c r="J226" s="147">
        <f t="shared" si="27"/>
        <v>301</v>
      </c>
      <c r="K226" s="147">
        <f t="shared" si="27"/>
        <v>16.899999999999999</v>
      </c>
    </row>
    <row r="227" spans="1:11" ht="31.5">
      <c r="A227" s="148" t="s">
        <v>115</v>
      </c>
      <c r="B227" s="143" t="s">
        <v>14</v>
      </c>
      <c r="C227" s="143" t="s">
        <v>14</v>
      </c>
      <c r="D227" s="143" t="s">
        <v>16</v>
      </c>
      <c r="E227" s="143" t="s">
        <v>290</v>
      </c>
      <c r="F227" s="143" t="s">
        <v>9</v>
      </c>
      <c r="G227" s="143" t="s">
        <v>299</v>
      </c>
      <c r="H227" s="143"/>
      <c r="I227" s="147">
        <f t="shared" si="27"/>
        <v>301</v>
      </c>
      <c r="J227" s="147">
        <f t="shared" si="27"/>
        <v>301</v>
      </c>
      <c r="K227" s="147">
        <f t="shared" si="27"/>
        <v>16.899999999999999</v>
      </c>
    </row>
    <row r="228" spans="1:11" ht="31.5">
      <c r="A228" s="148" t="s">
        <v>127</v>
      </c>
      <c r="B228" s="143" t="s">
        <v>14</v>
      </c>
      <c r="C228" s="143" t="s">
        <v>14</v>
      </c>
      <c r="D228" s="143" t="s">
        <v>16</v>
      </c>
      <c r="E228" s="143" t="s">
        <v>290</v>
      </c>
      <c r="F228" s="143" t="s">
        <v>9</v>
      </c>
      <c r="G228" s="143" t="s">
        <v>299</v>
      </c>
      <c r="H228" s="143" t="s">
        <v>117</v>
      </c>
      <c r="I228" s="147">
        <f>'Приложение 6'!J219</f>
        <v>301</v>
      </c>
      <c r="J228" s="147">
        <f>'Приложение 6'!K219</f>
        <v>301</v>
      </c>
      <c r="K228" s="147">
        <f>'Приложение 6'!L219</f>
        <v>16.899999999999999</v>
      </c>
    </row>
    <row r="229" spans="1:11" ht="15.75">
      <c r="A229" s="146" t="s">
        <v>333</v>
      </c>
      <c r="B229" s="143" t="s">
        <v>14</v>
      </c>
      <c r="C229" s="143" t="s">
        <v>14</v>
      </c>
      <c r="D229" s="143" t="s">
        <v>16</v>
      </c>
      <c r="E229" s="144">
        <v>2</v>
      </c>
      <c r="F229" s="143" t="s">
        <v>11</v>
      </c>
      <c r="G229" s="143"/>
      <c r="H229" s="144"/>
      <c r="I229" s="147">
        <f t="shared" ref="I229:K230" si="28">I230</f>
        <v>220</v>
      </c>
      <c r="J229" s="147">
        <f t="shared" si="28"/>
        <v>220</v>
      </c>
      <c r="K229" s="147">
        <f t="shared" si="28"/>
        <v>211.3</v>
      </c>
    </row>
    <row r="230" spans="1:11" ht="31.5">
      <c r="A230" s="148" t="s">
        <v>115</v>
      </c>
      <c r="B230" s="143" t="s">
        <v>14</v>
      </c>
      <c r="C230" s="143" t="s">
        <v>14</v>
      </c>
      <c r="D230" s="143" t="s">
        <v>16</v>
      </c>
      <c r="E230" s="143" t="s">
        <v>290</v>
      </c>
      <c r="F230" s="143" t="s">
        <v>11</v>
      </c>
      <c r="G230" s="143" t="s">
        <v>299</v>
      </c>
      <c r="H230" s="143"/>
      <c r="I230" s="147">
        <f t="shared" si="28"/>
        <v>220</v>
      </c>
      <c r="J230" s="147">
        <f t="shared" si="28"/>
        <v>220</v>
      </c>
      <c r="K230" s="147">
        <f t="shared" si="28"/>
        <v>211.3</v>
      </c>
    </row>
    <row r="231" spans="1:11" ht="31.5">
      <c r="A231" s="148" t="s">
        <v>127</v>
      </c>
      <c r="B231" s="143" t="s">
        <v>14</v>
      </c>
      <c r="C231" s="143" t="s">
        <v>14</v>
      </c>
      <c r="D231" s="143" t="s">
        <v>16</v>
      </c>
      <c r="E231" s="143" t="s">
        <v>290</v>
      </c>
      <c r="F231" s="143" t="s">
        <v>11</v>
      </c>
      <c r="G231" s="143" t="s">
        <v>299</v>
      </c>
      <c r="H231" s="143" t="s">
        <v>117</v>
      </c>
      <c r="I231" s="147">
        <f>'Приложение 6'!J222</f>
        <v>220</v>
      </c>
      <c r="J231" s="147">
        <f>'Приложение 6'!K222</f>
        <v>220</v>
      </c>
      <c r="K231" s="147">
        <f>'Приложение 6'!L222</f>
        <v>211.3</v>
      </c>
    </row>
    <row r="232" spans="1:11" ht="15.75">
      <c r="A232" s="148" t="s">
        <v>482</v>
      </c>
      <c r="B232" s="143" t="s">
        <v>61</v>
      </c>
      <c r="C232" s="143"/>
      <c r="D232" s="143"/>
      <c r="E232" s="143"/>
      <c r="F232" s="143"/>
      <c r="G232" s="143"/>
      <c r="H232" s="143"/>
      <c r="I232" s="147">
        <f>I233</f>
        <v>114.5</v>
      </c>
      <c r="J232" s="147">
        <f t="shared" ref="J232:K236" si="29">J233</f>
        <v>114.5</v>
      </c>
      <c r="K232" s="147">
        <f t="shared" si="29"/>
        <v>112</v>
      </c>
    </row>
    <row r="233" spans="1:11" ht="15.75">
      <c r="A233" s="148" t="s">
        <v>483</v>
      </c>
      <c r="B233" s="143" t="s">
        <v>61</v>
      </c>
      <c r="C233" s="143" t="s">
        <v>14</v>
      </c>
      <c r="D233" s="143"/>
      <c r="E233" s="143"/>
      <c r="F233" s="143"/>
      <c r="G233" s="143"/>
      <c r="H233" s="143"/>
      <c r="I233" s="147">
        <f>I234</f>
        <v>114.5</v>
      </c>
      <c r="J233" s="147">
        <f t="shared" si="29"/>
        <v>114.5</v>
      </c>
      <c r="K233" s="147">
        <f t="shared" si="29"/>
        <v>112</v>
      </c>
    </row>
    <row r="234" spans="1:11" ht="15.75">
      <c r="A234" s="148" t="s">
        <v>54</v>
      </c>
      <c r="B234" s="143" t="s">
        <v>61</v>
      </c>
      <c r="C234" s="143" t="s">
        <v>14</v>
      </c>
      <c r="D234" s="143" t="s">
        <v>42</v>
      </c>
      <c r="E234" s="144">
        <v>0</v>
      </c>
      <c r="F234" s="143" t="s">
        <v>118</v>
      </c>
      <c r="G234" s="143" t="s">
        <v>362</v>
      </c>
      <c r="H234" s="143"/>
      <c r="I234" s="147">
        <f>I235</f>
        <v>114.5</v>
      </c>
      <c r="J234" s="147">
        <f t="shared" si="29"/>
        <v>114.5</v>
      </c>
      <c r="K234" s="147">
        <f t="shared" si="29"/>
        <v>112</v>
      </c>
    </row>
    <row r="235" spans="1:11" ht="15.75">
      <c r="A235" s="148" t="s">
        <v>55</v>
      </c>
      <c r="B235" s="143" t="s">
        <v>61</v>
      </c>
      <c r="C235" s="143" t="s">
        <v>14</v>
      </c>
      <c r="D235" s="143" t="s">
        <v>42</v>
      </c>
      <c r="E235" s="144">
        <v>9</v>
      </c>
      <c r="F235" s="143" t="s">
        <v>118</v>
      </c>
      <c r="G235" s="143" t="s">
        <v>362</v>
      </c>
      <c r="H235" s="143"/>
      <c r="I235" s="147">
        <f>I236</f>
        <v>114.5</v>
      </c>
      <c r="J235" s="147">
        <f t="shared" si="29"/>
        <v>114.5</v>
      </c>
      <c r="K235" s="147">
        <f t="shared" si="29"/>
        <v>112</v>
      </c>
    </row>
    <row r="236" spans="1:11" ht="31.5">
      <c r="A236" s="148" t="s">
        <v>476</v>
      </c>
      <c r="B236" s="143" t="s">
        <v>61</v>
      </c>
      <c r="C236" s="143" t="s">
        <v>14</v>
      </c>
      <c r="D236" s="143" t="s">
        <v>42</v>
      </c>
      <c r="E236" s="143" t="s">
        <v>484</v>
      </c>
      <c r="F236" s="143" t="s">
        <v>118</v>
      </c>
      <c r="G236" s="143" t="s">
        <v>477</v>
      </c>
      <c r="H236" s="143"/>
      <c r="I236" s="147">
        <f>I237</f>
        <v>114.5</v>
      </c>
      <c r="J236" s="147">
        <f t="shared" si="29"/>
        <v>114.5</v>
      </c>
      <c r="K236" s="147">
        <f t="shared" si="29"/>
        <v>112</v>
      </c>
    </row>
    <row r="237" spans="1:11" ht="31.5">
      <c r="A237" s="148" t="s">
        <v>127</v>
      </c>
      <c r="B237" s="143" t="s">
        <v>61</v>
      </c>
      <c r="C237" s="143" t="s">
        <v>14</v>
      </c>
      <c r="D237" s="143" t="s">
        <v>42</v>
      </c>
      <c r="E237" s="143" t="s">
        <v>484</v>
      </c>
      <c r="F237" s="143" t="s">
        <v>118</v>
      </c>
      <c r="G237" s="143" t="s">
        <v>477</v>
      </c>
      <c r="H237" s="143" t="s">
        <v>117</v>
      </c>
      <c r="I237" s="147">
        <f>'Приложение 6'!J228</f>
        <v>114.5</v>
      </c>
      <c r="J237" s="147">
        <f>'Приложение 6'!K228</f>
        <v>114.5</v>
      </c>
      <c r="K237" s="147">
        <f>'Приложение 6'!L228</f>
        <v>112</v>
      </c>
    </row>
    <row r="238" spans="1:11" ht="15.75">
      <c r="A238" s="152" t="s">
        <v>253</v>
      </c>
      <c r="B238" s="143" t="s">
        <v>16</v>
      </c>
      <c r="C238" s="143"/>
      <c r="D238" s="143"/>
      <c r="E238" s="144"/>
      <c r="F238" s="143"/>
      <c r="G238" s="143"/>
      <c r="H238" s="144"/>
      <c r="I238" s="145">
        <f>I239+I243</f>
        <v>2146</v>
      </c>
      <c r="J238" s="145">
        <f>J239+J243</f>
        <v>2146</v>
      </c>
      <c r="K238" s="145">
        <f>K239+K243</f>
        <v>2146</v>
      </c>
    </row>
    <row r="239" spans="1:11" ht="15.75">
      <c r="A239" s="153" t="s">
        <v>27</v>
      </c>
      <c r="B239" s="143" t="s">
        <v>16</v>
      </c>
      <c r="C239" s="143" t="s">
        <v>14</v>
      </c>
      <c r="D239" s="143"/>
      <c r="E239" s="144"/>
      <c r="F239" s="143"/>
      <c r="G239" s="143"/>
      <c r="H239" s="144"/>
      <c r="I239" s="147">
        <f>I240</f>
        <v>25</v>
      </c>
      <c r="J239" s="147">
        <f t="shared" ref="J239:K241" si="30">J240</f>
        <v>25</v>
      </c>
      <c r="K239" s="147">
        <f t="shared" si="30"/>
        <v>25</v>
      </c>
    </row>
    <row r="240" spans="1:11" ht="63">
      <c r="A240" s="146" t="s">
        <v>422</v>
      </c>
      <c r="B240" s="143" t="s">
        <v>16</v>
      </c>
      <c r="C240" s="143" t="s">
        <v>14</v>
      </c>
      <c r="D240" s="143" t="s">
        <v>22</v>
      </c>
      <c r="E240" s="144">
        <v>0</v>
      </c>
      <c r="F240" s="143" t="s">
        <v>282</v>
      </c>
      <c r="G240" s="143" t="s">
        <v>362</v>
      </c>
      <c r="H240" s="144"/>
      <c r="I240" s="147">
        <f>I241</f>
        <v>25</v>
      </c>
      <c r="J240" s="147">
        <f t="shared" si="30"/>
        <v>25</v>
      </c>
      <c r="K240" s="147">
        <f t="shared" si="30"/>
        <v>25</v>
      </c>
    </row>
    <row r="241" spans="1:11" s="6" customFormat="1" ht="15.75">
      <c r="A241" s="148" t="s">
        <v>423</v>
      </c>
      <c r="B241" s="143" t="s">
        <v>16</v>
      </c>
      <c r="C241" s="143" t="s">
        <v>14</v>
      </c>
      <c r="D241" s="143" t="s">
        <v>22</v>
      </c>
      <c r="E241" s="144">
        <v>0</v>
      </c>
      <c r="F241" s="143" t="s">
        <v>282</v>
      </c>
      <c r="G241" s="143" t="s">
        <v>424</v>
      </c>
      <c r="H241" s="144"/>
      <c r="I241" s="147">
        <f>I242</f>
        <v>25</v>
      </c>
      <c r="J241" s="147">
        <f t="shared" si="30"/>
        <v>25</v>
      </c>
      <c r="K241" s="147">
        <f t="shared" si="30"/>
        <v>25</v>
      </c>
    </row>
    <row r="242" spans="1:11" ht="31.5">
      <c r="A242" s="148" t="s">
        <v>127</v>
      </c>
      <c r="B242" s="143" t="s">
        <v>16</v>
      </c>
      <c r="C242" s="143" t="s">
        <v>14</v>
      </c>
      <c r="D242" s="143" t="s">
        <v>22</v>
      </c>
      <c r="E242" s="144">
        <v>0</v>
      </c>
      <c r="F242" s="143" t="s">
        <v>282</v>
      </c>
      <c r="G242" s="143" t="s">
        <v>424</v>
      </c>
      <c r="H242" s="144">
        <v>240</v>
      </c>
      <c r="I242" s="147">
        <f>'Приложение 6'!J233</f>
        <v>25</v>
      </c>
      <c r="J242" s="147">
        <f>'Приложение 6'!K233</f>
        <v>25</v>
      </c>
      <c r="K242" s="147">
        <f>'Приложение 6'!L233</f>
        <v>25</v>
      </c>
    </row>
    <row r="243" spans="1:11" ht="15.75">
      <c r="A243" s="146" t="s">
        <v>73</v>
      </c>
      <c r="B243" s="143" t="s">
        <v>16</v>
      </c>
      <c r="C243" s="143" t="s">
        <v>16</v>
      </c>
      <c r="D243" s="143"/>
      <c r="E243" s="144"/>
      <c r="F243" s="143"/>
      <c r="G243" s="143"/>
      <c r="H243" s="144"/>
      <c r="I243" s="145">
        <f>I244</f>
        <v>2121</v>
      </c>
      <c r="J243" s="145">
        <f t="shared" ref="J243:K246" si="31">J244</f>
        <v>2121</v>
      </c>
      <c r="K243" s="145">
        <f t="shared" si="31"/>
        <v>2121</v>
      </c>
    </row>
    <row r="244" spans="1:11" ht="31.5">
      <c r="A244" s="148" t="s">
        <v>485</v>
      </c>
      <c r="B244" s="143" t="s">
        <v>16</v>
      </c>
      <c r="C244" s="143" t="s">
        <v>16</v>
      </c>
      <c r="D244" s="143" t="s">
        <v>61</v>
      </c>
      <c r="E244" s="144">
        <v>0</v>
      </c>
      <c r="F244" s="143" t="s">
        <v>282</v>
      </c>
      <c r="G244" s="143" t="s">
        <v>362</v>
      </c>
      <c r="H244" s="144"/>
      <c r="I244" s="145">
        <f>I245</f>
        <v>2121</v>
      </c>
      <c r="J244" s="145">
        <f t="shared" si="31"/>
        <v>2121</v>
      </c>
      <c r="K244" s="145">
        <f t="shared" si="31"/>
        <v>2121</v>
      </c>
    </row>
    <row r="245" spans="1:11" ht="15.75">
      <c r="A245" s="146" t="s">
        <v>73</v>
      </c>
      <c r="B245" s="143" t="s">
        <v>16</v>
      </c>
      <c r="C245" s="143" t="s">
        <v>16</v>
      </c>
      <c r="D245" s="143" t="s">
        <v>61</v>
      </c>
      <c r="E245" s="144">
        <v>1</v>
      </c>
      <c r="F245" s="143" t="s">
        <v>282</v>
      </c>
      <c r="G245" s="143" t="s">
        <v>362</v>
      </c>
      <c r="H245" s="144"/>
      <c r="I245" s="145">
        <f>I246</f>
        <v>2121</v>
      </c>
      <c r="J245" s="145">
        <f t="shared" si="31"/>
        <v>2121</v>
      </c>
      <c r="K245" s="145">
        <f t="shared" si="31"/>
        <v>2121</v>
      </c>
    </row>
    <row r="246" spans="1:11" ht="15.75">
      <c r="A246" s="146" t="s">
        <v>544</v>
      </c>
      <c r="B246" s="143" t="s">
        <v>16</v>
      </c>
      <c r="C246" s="143" t="s">
        <v>16</v>
      </c>
      <c r="D246" s="143" t="s">
        <v>61</v>
      </c>
      <c r="E246" s="144">
        <v>1</v>
      </c>
      <c r="F246" s="143" t="s">
        <v>282</v>
      </c>
      <c r="G246" s="143" t="s">
        <v>545</v>
      </c>
      <c r="H246" s="144"/>
      <c r="I246" s="145">
        <f>I247</f>
        <v>2121</v>
      </c>
      <c r="J246" s="145">
        <f t="shared" si="31"/>
        <v>2121</v>
      </c>
      <c r="K246" s="145">
        <f t="shared" si="31"/>
        <v>2121</v>
      </c>
    </row>
    <row r="247" spans="1:11" ht="15.75">
      <c r="A247" s="148" t="s">
        <v>546</v>
      </c>
      <c r="B247" s="143" t="s">
        <v>16</v>
      </c>
      <c r="C247" s="143" t="s">
        <v>16</v>
      </c>
      <c r="D247" s="143" t="s">
        <v>61</v>
      </c>
      <c r="E247" s="144">
        <v>1</v>
      </c>
      <c r="F247" s="143" t="s">
        <v>282</v>
      </c>
      <c r="G247" s="143" t="s">
        <v>545</v>
      </c>
      <c r="H247" s="144">
        <v>520</v>
      </c>
      <c r="I247" s="145">
        <f>'Приложение 6'!J238</f>
        <v>2121</v>
      </c>
      <c r="J247" s="145">
        <f>'Приложение 6'!K238</f>
        <v>2121</v>
      </c>
      <c r="K247" s="145">
        <f>'Приложение 6'!L238</f>
        <v>2121</v>
      </c>
    </row>
    <row r="248" spans="1:11" ht="15.75">
      <c r="A248" s="152" t="s">
        <v>254</v>
      </c>
      <c r="B248" s="143" t="s">
        <v>17</v>
      </c>
      <c r="C248" s="143"/>
      <c r="D248" s="143"/>
      <c r="E248" s="144"/>
      <c r="F248" s="143"/>
      <c r="G248" s="143"/>
      <c r="H248" s="144"/>
      <c r="I248" s="145">
        <f>I249+I280</f>
        <v>21841.600000000002</v>
      </c>
      <c r="J248" s="145">
        <f>J249+J280</f>
        <v>21841.600000000002</v>
      </c>
      <c r="K248" s="145">
        <f>K249+K280</f>
        <v>18027.699999999997</v>
      </c>
    </row>
    <row r="249" spans="1:11" s="6" customFormat="1" ht="15.75">
      <c r="A249" s="146" t="s">
        <v>18</v>
      </c>
      <c r="B249" s="143" t="s">
        <v>17</v>
      </c>
      <c r="C249" s="144" t="s">
        <v>9</v>
      </c>
      <c r="D249" s="143" t="s">
        <v>8</v>
      </c>
      <c r="E249" s="144"/>
      <c r="F249" s="143"/>
      <c r="G249" s="143"/>
      <c r="H249" s="144" t="s">
        <v>6</v>
      </c>
      <c r="I249" s="145">
        <f>I250+I263+I268+I272</f>
        <v>20921.2</v>
      </c>
      <c r="J249" s="145">
        <f>J250+J263+J268+J272</f>
        <v>20921.2</v>
      </c>
      <c r="K249" s="145">
        <f>K250+K263+K268+K272</f>
        <v>17199.099999999999</v>
      </c>
    </row>
    <row r="250" spans="1:11" ht="31.5">
      <c r="A250" s="148" t="s">
        <v>485</v>
      </c>
      <c r="B250" s="143" t="s">
        <v>17</v>
      </c>
      <c r="C250" s="143" t="s">
        <v>9</v>
      </c>
      <c r="D250" s="143" t="s">
        <v>61</v>
      </c>
      <c r="E250" s="144">
        <v>0</v>
      </c>
      <c r="F250" s="143" t="s">
        <v>282</v>
      </c>
      <c r="G250" s="143" t="s">
        <v>362</v>
      </c>
      <c r="H250" s="144"/>
      <c r="I250" s="145">
        <f>I251+I260</f>
        <v>19412.7</v>
      </c>
      <c r="J250" s="145">
        <f>J251+J260</f>
        <v>19601</v>
      </c>
      <c r="K250" s="145">
        <f>K251+K260</f>
        <v>16079.5</v>
      </c>
    </row>
    <row r="251" spans="1:11" ht="15.75">
      <c r="A251" s="148" t="s">
        <v>74</v>
      </c>
      <c r="B251" s="143" t="s">
        <v>17</v>
      </c>
      <c r="C251" s="143" t="s">
        <v>9</v>
      </c>
      <c r="D251" s="143" t="s">
        <v>61</v>
      </c>
      <c r="E251" s="144">
        <v>2</v>
      </c>
      <c r="F251" s="143" t="s">
        <v>282</v>
      </c>
      <c r="G251" s="143" t="s">
        <v>362</v>
      </c>
      <c r="H251" s="144"/>
      <c r="I251" s="145">
        <f>I252+I258+I256</f>
        <v>7240.9000000000005</v>
      </c>
      <c r="J251" s="145">
        <f>J252+J258+J256</f>
        <v>7429.2000000000007</v>
      </c>
      <c r="K251" s="145">
        <f>K252+K258+K256</f>
        <v>5100.7</v>
      </c>
    </row>
    <row r="252" spans="1:11" ht="15.75">
      <c r="A252" s="148" t="s">
        <v>70</v>
      </c>
      <c r="B252" s="143" t="s">
        <v>17</v>
      </c>
      <c r="C252" s="143" t="s">
        <v>9</v>
      </c>
      <c r="D252" s="143" t="s">
        <v>61</v>
      </c>
      <c r="E252" s="144">
        <v>2</v>
      </c>
      <c r="F252" s="143" t="s">
        <v>282</v>
      </c>
      <c r="G252" s="143" t="s">
        <v>331</v>
      </c>
      <c r="H252" s="144"/>
      <c r="I252" s="145">
        <f>SUM(I253:I255)</f>
        <v>3733.5</v>
      </c>
      <c r="J252" s="145">
        <f>SUM(J253:J255)</f>
        <v>3921.8</v>
      </c>
      <c r="K252" s="145">
        <f>SUM(K253:K255)</f>
        <v>3572.8</v>
      </c>
    </row>
    <row r="253" spans="1:11" ht="15.75">
      <c r="A253" s="146" t="s">
        <v>105</v>
      </c>
      <c r="B253" s="143" t="s">
        <v>17</v>
      </c>
      <c r="C253" s="143" t="s">
        <v>9</v>
      </c>
      <c r="D253" s="143" t="s">
        <v>61</v>
      </c>
      <c r="E253" s="144">
        <v>2</v>
      </c>
      <c r="F253" s="143" t="s">
        <v>282</v>
      </c>
      <c r="G253" s="143" t="s">
        <v>331</v>
      </c>
      <c r="H253" s="144">
        <v>110</v>
      </c>
      <c r="I253" s="145">
        <f>'Приложение 6'!J244</f>
        <v>2281.5</v>
      </c>
      <c r="J253" s="145">
        <f>'Приложение 6'!K244</f>
        <v>2281.5</v>
      </c>
      <c r="K253" s="145">
        <f>'Приложение 6'!L244</f>
        <v>2206.9</v>
      </c>
    </row>
    <row r="254" spans="1:11" ht="31.5">
      <c r="A254" s="148" t="s">
        <v>127</v>
      </c>
      <c r="B254" s="143" t="s">
        <v>17</v>
      </c>
      <c r="C254" s="143" t="s">
        <v>9</v>
      </c>
      <c r="D254" s="143" t="s">
        <v>61</v>
      </c>
      <c r="E254" s="144">
        <v>2</v>
      </c>
      <c r="F254" s="143" t="s">
        <v>282</v>
      </c>
      <c r="G254" s="143" t="s">
        <v>331</v>
      </c>
      <c r="H254" s="144">
        <v>240</v>
      </c>
      <c r="I254" s="145">
        <f>'Приложение 6'!J245</f>
        <v>1432</v>
      </c>
      <c r="J254" s="145">
        <f>'Приложение 6'!K245</f>
        <v>1620.3</v>
      </c>
      <c r="K254" s="145">
        <f>'Приложение 6'!L245</f>
        <v>1365.7</v>
      </c>
    </row>
    <row r="255" spans="1:11" ht="15.75">
      <c r="A255" s="146" t="s">
        <v>107</v>
      </c>
      <c r="B255" s="143" t="s">
        <v>17</v>
      </c>
      <c r="C255" s="143" t="s">
        <v>9</v>
      </c>
      <c r="D255" s="143" t="s">
        <v>61</v>
      </c>
      <c r="E255" s="144">
        <v>2</v>
      </c>
      <c r="F255" s="143" t="s">
        <v>282</v>
      </c>
      <c r="G255" s="143" t="s">
        <v>331</v>
      </c>
      <c r="H255" s="144">
        <v>850</v>
      </c>
      <c r="I255" s="145">
        <f>'Приложение 6'!J246</f>
        <v>20</v>
      </c>
      <c r="J255" s="145">
        <f>'Приложение 6'!K246</f>
        <v>20</v>
      </c>
      <c r="K255" s="145">
        <f>'Приложение 6'!L246</f>
        <v>0.2</v>
      </c>
    </row>
    <row r="256" spans="1:11" ht="31.5">
      <c r="A256" s="148" t="s">
        <v>549</v>
      </c>
      <c r="B256" s="143" t="s">
        <v>17</v>
      </c>
      <c r="C256" s="143" t="s">
        <v>9</v>
      </c>
      <c r="D256" s="143" t="s">
        <v>61</v>
      </c>
      <c r="E256" s="143" t="s">
        <v>290</v>
      </c>
      <c r="F256" s="143" t="s">
        <v>282</v>
      </c>
      <c r="G256" s="143" t="s">
        <v>550</v>
      </c>
      <c r="H256" s="143"/>
      <c r="I256" s="147">
        <f>I257</f>
        <v>518.1</v>
      </c>
      <c r="J256" s="147">
        <f>J257</f>
        <v>518.1</v>
      </c>
      <c r="K256" s="147">
        <f>K257</f>
        <v>225.7</v>
      </c>
    </row>
    <row r="257" spans="1:11" s="6" customFormat="1" ht="31.5">
      <c r="A257" s="148" t="s">
        <v>127</v>
      </c>
      <c r="B257" s="143" t="s">
        <v>17</v>
      </c>
      <c r="C257" s="143" t="s">
        <v>9</v>
      </c>
      <c r="D257" s="143" t="s">
        <v>61</v>
      </c>
      <c r="E257" s="143" t="s">
        <v>290</v>
      </c>
      <c r="F257" s="143" t="s">
        <v>282</v>
      </c>
      <c r="G257" s="143" t="s">
        <v>550</v>
      </c>
      <c r="H257" s="143" t="s">
        <v>117</v>
      </c>
      <c r="I257" s="147">
        <f>'Приложение 6'!J248</f>
        <v>518.1</v>
      </c>
      <c r="J257" s="147">
        <f>'Приложение 6'!K248</f>
        <v>518.1</v>
      </c>
      <c r="K257" s="147">
        <f>'Приложение 6'!L248</f>
        <v>225.7</v>
      </c>
    </row>
    <row r="258" spans="1:11" ht="31.5">
      <c r="A258" s="148" t="s">
        <v>547</v>
      </c>
      <c r="B258" s="143" t="s">
        <v>17</v>
      </c>
      <c r="C258" s="143" t="s">
        <v>9</v>
      </c>
      <c r="D258" s="143" t="s">
        <v>61</v>
      </c>
      <c r="E258" s="143" t="s">
        <v>290</v>
      </c>
      <c r="F258" s="143" t="s">
        <v>282</v>
      </c>
      <c r="G258" s="143" t="s">
        <v>548</v>
      </c>
      <c r="H258" s="143"/>
      <c r="I258" s="147">
        <f>I259</f>
        <v>2989.3</v>
      </c>
      <c r="J258" s="147">
        <f>J259</f>
        <v>2989.3</v>
      </c>
      <c r="K258" s="147">
        <f>K259</f>
        <v>1302.2</v>
      </c>
    </row>
    <row r="259" spans="1:11" ht="31.5">
      <c r="A259" s="148" t="s">
        <v>127</v>
      </c>
      <c r="B259" s="143" t="s">
        <v>17</v>
      </c>
      <c r="C259" s="143" t="s">
        <v>9</v>
      </c>
      <c r="D259" s="143" t="s">
        <v>61</v>
      </c>
      <c r="E259" s="143" t="s">
        <v>290</v>
      </c>
      <c r="F259" s="143" t="s">
        <v>282</v>
      </c>
      <c r="G259" s="143" t="s">
        <v>548</v>
      </c>
      <c r="H259" s="143" t="s">
        <v>117</v>
      </c>
      <c r="I259" s="147">
        <f>'Приложение 6'!J250</f>
        <v>2989.3</v>
      </c>
      <c r="J259" s="147">
        <f>'Приложение 6'!K250</f>
        <v>2989.3</v>
      </c>
      <c r="K259" s="147">
        <f>'Приложение 6'!L250</f>
        <v>1302.2</v>
      </c>
    </row>
    <row r="260" spans="1:11" ht="15.75">
      <c r="A260" s="148" t="s">
        <v>376</v>
      </c>
      <c r="B260" s="143" t="s">
        <v>17</v>
      </c>
      <c r="C260" s="143" t="s">
        <v>9</v>
      </c>
      <c r="D260" s="143" t="s">
        <v>61</v>
      </c>
      <c r="E260" s="144">
        <v>5</v>
      </c>
      <c r="F260" s="143" t="s">
        <v>282</v>
      </c>
      <c r="G260" s="143" t="s">
        <v>362</v>
      </c>
      <c r="H260" s="144"/>
      <c r="I260" s="145">
        <f t="shared" ref="I260:K261" si="32">I261</f>
        <v>12171.8</v>
      </c>
      <c r="J260" s="145">
        <f t="shared" si="32"/>
        <v>12171.8</v>
      </c>
      <c r="K260" s="145">
        <f t="shared" si="32"/>
        <v>10978.8</v>
      </c>
    </row>
    <row r="261" spans="1:11" ht="15.75">
      <c r="A261" s="148" t="s">
        <v>70</v>
      </c>
      <c r="B261" s="143" t="s">
        <v>17</v>
      </c>
      <c r="C261" s="143" t="s">
        <v>9</v>
      </c>
      <c r="D261" s="143" t="s">
        <v>61</v>
      </c>
      <c r="E261" s="144">
        <v>5</v>
      </c>
      <c r="F261" s="143" t="s">
        <v>282</v>
      </c>
      <c r="G261" s="143" t="s">
        <v>331</v>
      </c>
      <c r="H261" s="144"/>
      <c r="I261" s="145">
        <f t="shared" si="32"/>
        <v>12171.8</v>
      </c>
      <c r="J261" s="145">
        <f t="shared" si="32"/>
        <v>12171.8</v>
      </c>
      <c r="K261" s="145">
        <f t="shared" si="32"/>
        <v>10978.8</v>
      </c>
    </row>
    <row r="262" spans="1:11" ht="15.75">
      <c r="A262" s="146" t="s">
        <v>377</v>
      </c>
      <c r="B262" s="143" t="s">
        <v>17</v>
      </c>
      <c r="C262" s="143" t="s">
        <v>9</v>
      </c>
      <c r="D262" s="143" t="s">
        <v>61</v>
      </c>
      <c r="E262" s="144">
        <v>5</v>
      </c>
      <c r="F262" s="143" t="s">
        <v>282</v>
      </c>
      <c r="G262" s="143" t="s">
        <v>331</v>
      </c>
      <c r="H262" s="144">
        <v>620</v>
      </c>
      <c r="I262" s="145">
        <f>'Приложение 6'!J253</f>
        <v>12171.8</v>
      </c>
      <c r="J262" s="145">
        <f>'Приложение 6'!K253</f>
        <v>12171.8</v>
      </c>
      <c r="K262" s="145">
        <f>'Приложение 6'!L253</f>
        <v>10978.8</v>
      </c>
    </row>
    <row r="263" spans="1:11" ht="31.5">
      <c r="A263" s="146" t="s">
        <v>467</v>
      </c>
      <c r="B263" s="143" t="s">
        <v>17</v>
      </c>
      <c r="C263" s="143" t="s">
        <v>9</v>
      </c>
      <c r="D263" s="143" t="s">
        <v>16</v>
      </c>
      <c r="E263" s="144">
        <v>0</v>
      </c>
      <c r="F263" s="143" t="s">
        <v>282</v>
      </c>
      <c r="G263" s="143" t="s">
        <v>362</v>
      </c>
      <c r="H263" s="144"/>
      <c r="I263" s="147">
        <f>I264</f>
        <v>76.400000000000006</v>
      </c>
      <c r="J263" s="147">
        <f t="shared" ref="J263:K266" si="33">J264</f>
        <v>76.400000000000006</v>
      </c>
      <c r="K263" s="147">
        <f t="shared" si="33"/>
        <v>0.8</v>
      </c>
    </row>
    <row r="264" spans="1:11" ht="15.75">
      <c r="A264" s="146" t="s">
        <v>121</v>
      </c>
      <c r="B264" s="143" t="s">
        <v>17</v>
      </c>
      <c r="C264" s="143" t="s">
        <v>9</v>
      </c>
      <c r="D264" s="143" t="s">
        <v>16</v>
      </c>
      <c r="E264" s="144">
        <v>3</v>
      </c>
      <c r="F264" s="143" t="s">
        <v>282</v>
      </c>
      <c r="G264" s="143" t="s">
        <v>362</v>
      </c>
      <c r="H264" s="144"/>
      <c r="I264" s="147">
        <f>I265</f>
        <v>76.400000000000006</v>
      </c>
      <c r="J264" s="147">
        <f t="shared" si="33"/>
        <v>76.400000000000006</v>
      </c>
      <c r="K264" s="147">
        <f t="shared" si="33"/>
        <v>0.8</v>
      </c>
    </row>
    <row r="265" spans="1:11" ht="15.75">
      <c r="A265" s="146" t="s">
        <v>298</v>
      </c>
      <c r="B265" s="143" t="s">
        <v>17</v>
      </c>
      <c r="C265" s="143" t="s">
        <v>9</v>
      </c>
      <c r="D265" s="143" t="s">
        <v>16</v>
      </c>
      <c r="E265" s="144">
        <v>3</v>
      </c>
      <c r="F265" s="143" t="s">
        <v>9</v>
      </c>
      <c r="G265" s="143" t="s">
        <v>362</v>
      </c>
      <c r="H265" s="144"/>
      <c r="I265" s="147">
        <f>I266</f>
        <v>76.400000000000006</v>
      </c>
      <c r="J265" s="147">
        <f t="shared" si="33"/>
        <v>76.400000000000006</v>
      </c>
      <c r="K265" s="147">
        <f t="shared" si="33"/>
        <v>0.8</v>
      </c>
    </row>
    <row r="266" spans="1:11" ht="31.5">
      <c r="A266" s="148" t="s">
        <v>115</v>
      </c>
      <c r="B266" s="143" t="s">
        <v>17</v>
      </c>
      <c r="C266" s="143" t="s">
        <v>9</v>
      </c>
      <c r="D266" s="143" t="s">
        <v>16</v>
      </c>
      <c r="E266" s="143" t="s">
        <v>120</v>
      </c>
      <c r="F266" s="143" t="s">
        <v>9</v>
      </c>
      <c r="G266" s="143" t="s">
        <v>299</v>
      </c>
      <c r="H266" s="143"/>
      <c r="I266" s="147">
        <f>I267</f>
        <v>76.400000000000006</v>
      </c>
      <c r="J266" s="147">
        <f t="shared" si="33"/>
        <v>76.400000000000006</v>
      </c>
      <c r="K266" s="147">
        <f t="shared" si="33"/>
        <v>0.8</v>
      </c>
    </row>
    <row r="267" spans="1:11" ht="31.5">
      <c r="A267" s="148" t="s">
        <v>127</v>
      </c>
      <c r="B267" s="143" t="s">
        <v>17</v>
      </c>
      <c r="C267" s="143" t="s">
        <v>9</v>
      </c>
      <c r="D267" s="143" t="s">
        <v>16</v>
      </c>
      <c r="E267" s="143" t="s">
        <v>120</v>
      </c>
      <c r="F267" s="143" t="s">
        <v>9</v>
      </c>
      <c r="G267" s="143" t="s">
        <v>299</v>
      </c>
      <c r="H267" s="143" t="s">
        <v>117</v>
      </c>
      <c r="I267" s="147">
        <f>'Приложение 6'!J258</f>
        <v>76.400000000000006</v>
      </c>
      <c r="J267" s="147">
        <f>'Приложение 6'!K258</f>
        <v>76.400000000000006</v>
      </c>
      <c r="K267" s="147">
        <f>'Приложение 6'!L258</f>
        <v>0.8</v>
      </c>
    </row>
    <row r="268" spans="1:11" ht="47.25">
      <c r="A268" s="146" t="s">
        <v>468</v>
      </c>
      <c r="B268" s="143" t="s">
        <v>17</v>
      </c>
      <c r="C268" s="143" t="s">
        <v>9</v>
      </c>
      <c r="D268" s="143" t="s">
        <v>33</v>
      </c>
      <c r="E268" s="144">
        <v>0</v>
      </c>
      <c r="F268" s="143" t="s">
        <v>282</v>
      </c>
      <c r="G268" s="143" t="s">
        <v>362</v>
      </c>
      <c r="H268" s="144"/>
      <c r="I268" s="147">
        <f>I269</f>
        <v>468.30000000000007</v>
      </c>
      <c r="J268" s="147">
        <f t="shared" ref="J268:K270" si="34">J269</f>
        <v>280</v>
      </c>
      <c r="K268" s="147">
        <f t="shared" si="34"/>
        <v>280</v>
      </c>
    </row>
    <row r="269" spans="1:11" ht="15.75">
      <c r="A269" s="148" t="s">
        <v>335</v>
      </c>
      <c r="B269" s="143" t="s">
        <v>17</v>
      </c>
      <c r="C269" s="143" t="s">
        <v>9</v>
      </c>
      <c r="D269" s="143" t="s">
        <v>33</v>
      </c>
      <c r="E269" s="143" t="s">
        <v>118</v>
      </c>
      <c r="F269" s="143" t="s">
        <v>9</v>
      </c>
      <c r="G269" s="143" t="s">
        <v>362</v>
      </c>
      <c r="H269" s="143"/>
      <c r="I269" s="147">
        <f>I270</f>
        <v>468.30000000000007</v>
      </c>
      <c r="J269" s="147">
        <f t="shared" si="34"/>
        <v>280</v>
      </c>
      <c r="K269" s="147">
        <f t="shared" si="34"/>
        <v>280</v>
      </c>
    </row>
    <row r="270" spans="1:11" ht="15.75">
      <c r="A270" s="148" t="s">
        <v>336</v>
      </c>
      <c r="B270" s="143" t="s">
        <v>17</v>
      </c>
      <c r="C270" s="143" t="s">
        <v>9</v>
      </c>
      <c r="D270" s="143" t="s">
        <v>33</v>
      </c>
      <c r="E270" s="143" t="s">
        <v>118</v>
      </c>
      <c r="F270" s="143" t="s">
        <v>9</v>
      </c>
      <c r="G270" s="143" t="s">
        <v>337</v>
      </c>
      <c r="H270" s="143"/>
      <c r="I270" s="147">
        <f>I271</f>
        <v>468.30000000000007</v>
      </c>
      <c r="J270" s="147">
        <f t="shared" si="34"/>
        <v>280</v>
      </c>
      <c r="K270" s="147">
        <f t="shared" si="34"/>
        <v>280</v>
      </c>
    </row>
    <row r="271" spans="1:11" ht="31.5">
      <c r="A271" s="148" t="s">
        <v>127</v>
      </c>
      <c r="B271" s="143" t="s">
        <v>17</v>
      </c>
      <c r="C271" s="143" t="s">
        <v>9</v>
      </c>
      <c r="D271" s="143" t="s">
        <v>33</v>
      </c>
      <c r="E271" s="143" t="s">
        <v>118</v>
      </c>
      <c r="F271" s="143" t="s">
        <v>9</v>
      </c>
      <c r="G271" s="143" t="s">
        <v>337</v>
      </c>
      <c r="H271" s="143" t="s">
        <v>117</v>
      </c>
      <c r="I271" s="147">
        <f>'Приложение 6'!J262</f>
        <v>468.30000000000007</v>
      </c>
      <c r="J271" s="147">
        <f>'Приложение 6'!K262</f>
        <v>280</v>
      </c>
      <c r="K271" s="147">
        <f>'Приложение 6'!L262</f>
        <v>280</v>
      </c>
    </row>
    <row r="272" spans="1:11" ht="15.75">
      <c r="A272" s="148" t="s">
        <v>54</v>
      </c>
      <c r="B272" s="143" t="s">
        <v>17</v>
      </c>
      <c r="C272" s="143" t="s">
        <v>9</v>
      </c>
      <c r="D272" s="143" t="s">
        <v>42</v>
      </c>
      <c r="E272" s="144">
        <v>0</v>
      </c>
      <c r="F272" s="143" t="s">
        <v>118</v>
      </c>
      <c r="G272" s="143" t="s">
        <v>362</v>
      </c>
      <c r="H272" s="144"/>
      <c r="I272" s="145">
        <f>I273</f>
        <v>963.80000000000007</v>
      </c>
      <c r="J272" s="145">
        <f>J273</f>
        <v>963.80000000000007</v>
      </c>
      <c r="K272" s="145">
        <f>K273</f>
        <v>838.8</v>
      </c>
    </row>
    <row r="273" spans="1:11" ht="15.75">
      <c r="A273" s="148" t="s">
        <v>55</v>
      </c>
      <c r="B273" s="143" t="s">
        <v>17</v>
      </c>
      <c r="C273" s="143" t="s">
        <v>9</v>
      </c>
      <c r="D273" s="143" t="s">
        <v>42</v>
      </c>
      <c r="E273" s="144">
        <v>9</v>
      </c>
      <c r="F273" s="143" t="s">
        <v>118</v>
      </c>
      <c r="G273" s="143" t="s">
        <v>362</v>
      </c>
      <c r="H273" s="144"/>
      <c r="I273" s="145">
        <f>I274+I276+I278</f>
        <v>963.80000000000007</v>
      </c>
      <c r="J273" s="145">
        <f>J274+J276+J278</f>
        <v>963.80000000000007</v>
      </c>
      <c r="K273" s="145">
        <f>K274+K276+K278</f>
        <v>838.8</v>
      </c>
    </row>
    <row r="274" spans="1:11" ht="15.75">
      <c r="A274" s="148" t="s">
        <v>551</v>
      </c>
      <c r="B274" s="143" t="s">
        <v>17</v>
      </c>
      <c r="C274" s="143" t="s">
        <v>9</v>
      </c>
      <c r="D274" s="143" t="s">
        <v>42</v>
      </c>
      <c r="E274" s="144">
        <v>9</v>
      </c>
      <c r="F274" s="143" t="s">
        <v>118</v>
      </c>
      <c r="G274" s="143" t="s">
        <v>552</v>
      </c>
      <c r="H274" s="144"/>
      <c r="I274" s="145">
        <f>I275</f>
        <v>20</v>
      </c>
      <c r="J274" s="145">
        <f>J275</f>
        <v>20</v>
      </c>
      <c r="K274" s="145">
        <f>K275</f>
        <v>20</v>
      </c>
    </row>
    <row r="275" spans="1:11" ht="31.5">
      <c r="A275" s="148" t="s">
        <v>127</v>
      </c>
      <c r="B275" s="143" t="s">
        <v>17</v>
      </c>
      <c r="C275" s="143" t="s">
        <v>9</v>
      </c>
      <c r="D275" s="143" t="s">
        <v>42</v>
      </c>
      <c r="E275" s="144">
        <v>9</v>
      </c>
      <c r="F275" s="143" t="s">
        <v>118</v>
      </c>
      <c r="G275" s="143" t="s">
        <v>552</v>
      </c>
      <c r="H275" s="144">
        <v>240</v>
      </c>
      <c r="I275" s="145">
        <f>'Приложение 6'!J266</f>
        <v>20</v>
      </c>
      <c r="J275" s="145">
        <f>'Приложение 6'!K266</f>
        <v>20</v>
      </c>
      <c r="K275" s="145">
        <f>'Приложение 6'!L266</f>
        <v>20</v>
      </c>
    </row>
    <row r="276" spans="1:11" ht="47.25">
      <c r="A276" s="148" t="s">
        <v>37</v>
      </c>
      <c r="B276" s="143" t="s">
        <v>17</v>
      </c>
      <c r="C276" s="143" t="s">
        <v>9</v>
      </c>
      <c r="D276" s="143" t="s">
        <v>42</v>
      </c>
      <c r="E276" s="144">
        <v>9</v>
      </c>
      <c r="F276" s="143" t="s">
        <v>282</v>
      </c>
      <c r="G276" s="143" t="s">
        <v>338</v>
      </c>
      <c r="H276" s="144"/>
      <c r="I276" s="145">
        <f>I277</f>
        <v>405</v>
      </c>
      <c r="J276" s="145">
        <f>J277</f>
        <v>405</v>
      </c>
      <c r="K276" s="145">
        <f>K277</f>
        <v>362.5</v>
      </c>
    </row>
    <row r="277" spans="1:11" ht="15.75">
      <c r="A277" s="148" t="s">
        <v>339</v>
      </c>
      <c r="B277" s="143" t="s">
        <v>17</v>
      </c>
      <c r="C277" s="143" t="s">
        <v>9</v>
      </c>
      <c r="D277" s="143" t="s">
        <v>42</v>
      </c>
      <c r="E277" s="144">
        <v>9</v>
      </c>
      <c r="F277" s="143" t="s">
        <v>282</v>
      </c>
      <c r="G277" s="143" t="s">
        <v>338</v>
      </c>
      <c r="H277" s="144">
        <v>110</v>
      </c>
      <c r="I277" s="145">
        <f>'Приложение 6'!J268</f>
        <v>405</v>
      </c>
      <c r="J277" s="145">
        <f>'Приложение 6'!K268</f>
        <v>405</v>
      </c>
      <c r="K277" s="145">
        <f>'Приложение 6'!L268</f>
        <v>362.5</v>
      </c>
    </row>
    <row r="278" spans="1:11" ht="31.5">
      <c r="A278" s="148" t="s">
        <v>361</v>
      </c>
      <c r="B278" s="143" t="s">
        <v>17</v>
      </c>
      <c r="C278" s="143" t="s">
        <v>9</v>
      </c>
      <c r="D278" s="143" t="s">
        <v>42</v>
      </c>
      <c r="E278" s="144">
        <v>9</v>
      </c>
      <c r="F278" s="143" t="s">
        <v>282</v>
      </c>
      <c r="G278" s="143" t="s">
        <v>425</v>
      </c>
      <c r="H278" s="144"/>
      <c r="I278" s="145">
        <f>I279</f>
        <v>538.80000000000007</v>
      </c>
      <c r="J278" s="145">
        <f>J279</f>
        <v>538.80000000000007</v>
      </c>
      <c r="K278" s="145">
        <f>K279</f>
        <v>456.3</v>
      </c>
    </row>
    <row r="279" spans="1:11" ht="31.5">
      <c r="A279" s="146" t="s">
        <v>377</v>
      </c>
      <c r="B279" s="143" t="s">
        <v>17</v>
      </c>
      <c r="C279" s="143" t="s">
        <v>9</v>
      </c>
      <c r="D279" s="143" t="s">
        <v>42</v>
      </c>
      <c r="E279" s="144">
        <v>9</v>
      </c>
      <c r="F279" s="143" t="s">
        <v>282</v>
      </c>
      <c r="G279" s="143" t="s">
        <v>425</v>
      </c>
      <c r="H279" s="144">
        <v>620</v>
      </c>
      <c r="I279" s="145">
        <f>'Приложение 6'!J270</f>
        <v>538.80000000000007</v>
      </c>
      <c r="J279" s="145">
        <f>'Приложение 6'!K270</f>
        <v>538.80000000000007</v>
      </c>
      <c r="K279" s="145">
        <f>'Приложение 6'!L270</f>
        <v>456.3</v>
      </c>
    </row>
    <row r="280" spans="1:11" ht="15.75">
      <c r="A280" s="146" t="s">
        <v>30</v>
      </c>
      <c r="B280" s="143" t="s">
        <v>17</v>
      </c>
      <c r="C280" s="143" t="s">
        <v>13</v>
      </c>
      <c r="D280" s="143"/>
      <c r="E280" s="144"/>
      <c r="F280" s="143"/>
      <c r="G280" s="143"/>
      <c r="H280" s="144"/>
      <c r="I280" s="147">
        <f t="shared" ref="I280:K281" si="35">I281</f>
        <v>920.40000000000009</v>
      </c>
      <c r="J280" s="147">
        <f t="shared" si="35"/>
        <v>920.40000000000009</v>
      </c>
      <c r="K280" s="147">
        <f t="shared" si="35"/>
        <v>828.6</v>
      </c>
    </row>
    <row r="281" spans="1:11" ht="31.5">
      <c r="A281" s="148" t="s">
        <v>485</v>
      </c>
      <c r="B281" s="143" t="s">
        <v>17</v>
      </c>
      <c r="C281" s="143" t="s">
        <v>13</v>
      </c>
      <c r="D281" s="143" t="s">
        <v>61</v>
      </c>
      <c r="E281" s="144">
        <v>0</v>
      </c>
      <c r="F281" s="143" t="s">
        <v>282</v>
      </c>
      <c r="G281" s="143" t="s">
        <v>362</v>
      </c>
      <c r="H281" s="144"/>
      <c r="I281" s="147">
        <f t="shared" si="35"/>
        <v>920.40000000000009</v>
      </c>
      <c r="J281" s="147">
        <f t="shared" si="35"/>
        <v>920.40000000000009</v>
      </c>
      <c r="K281" s="147">
        <f t="shared" si="35"/>
        <v>828.6</v>
      </c>
    </row>
    <row r="282" spans="1:11" ht="15.75">
      <c r="A282" s="148" t="s">
        <v>75</v>
      </c>
      <c r="B282" s="143" t="s">
        <v>17</v>
      </c>
      <c r="C282" s="143" t="s">
        <v>13</v>
      </c>
      <c r="D282" s="143" t="s">
        <v>61</v>
      </c>
      <c r="E282" s="144">
        <v>3</v>
      </c>
      <c r="F282" s="143" t="s">
        <v>282</v>
      </c>
      <c r="G282" s="143" t="s">
        <v>362</v>
      </c>
      <c r="H282" s="144"/>
      <c r="I282" s="147">
        <f>I283+I285+I287</f>
        <v>920.40000000000009</v>
      </c>
      <c r="J282" s="147">
        <f>J283+J285+J287</f>
        <v>920.40000000000009</v>
      </c>
      <c r="K282" s="147">
        <f>K283+K285+K287</f>
        <v>828.6</v>
      </c>
    </row>
    <row r="283" spans="1:11" ht="15.75">
      <c r="A283" s="148" t="s">
        <v>76</v>
      </c>
      <c r="B283" s="143" t="s">
        <v>17</v>
      </c>
      <c r="C283" s="143" t="s">
        <v>13</v>
      </c>
      <c r="D283" s="143" t="s">
        <v>61</v>
      </c>
      <c r="E283" s="144">
        <v>3</v>
      </c>
      <c r="F283" s="143" t="s">
        <v>282</v>
      </c>
      <c r="G283" s="143" t="s">
        <v>340</v>
      </c>
      <c r="H283" s="144"/>
      <c r="I283" s="147">
        <f>I284</f>
        <v>100</v>
      </c>
      <c r="J283" s="147">
        <f>J284</f>
        <v>100</v>
      </c>
      <c r="K283" s="147">
        <f>K284</f>
        <v>100</v>
      </c>
    </row>
    <row r="284" spans="1:11" ht="15.75">
      <c r="A284" s="148" t="s">
        <v>426</v>
      </c>
      <c r="B284" s="143" t="s">
        <v>17</v>
      </c>
      <c r="C284" s="143" t="s">
        <v>13</v>
      </c>
      <c r="D284" s="143" t="s">
        <v>61</v>
      </c>
      <c r="E284" s="144">
        <v>3</v>
      </c>
      <c r="F284" s="143" t="s">
        <v>282</v>
      </c>
      <c r="G284" s="143" t="s">
        <v>340</v>
      </c>
      <c r="H284" s="144">
        <v>350</v>
      </c>
      <c r="I284" s="147">
        <f>'Приложение 6'!J275</f>
        <v>100</v>
      </c>
      <c r="J284" s="147">
        <f>'Приложение 6'!K275</f>
        <v>100</v>
      </c>
      <c r="K284" s="147">
        <f>'Приложение 6'!L275</f>
        <v>100</v>
      </c>
    </row>
    <row r="285" spans="1:11" ht="15.75">
      <c r="A285" s="148" t="s">
        <v>77</v>
      </c>
      <c r="B285" s="143" t="s">
        <v>17</v>
      </c>
      <c r="C285" s="143" t="s">
        <v>13</v>
      </c>
      <c r="D285" s="143" t="s">
        <v>61</v>
      </c>
      <c r="E285" s="144">
        <v>3</v>
      </c>
      <c r="F285" s="143" t="s">
        <v>282</v>
      </c>
      <c r="G285" s="143" t="s">
        <v>341</v>
      </c>
      <c r="H285" s="144"/>
      <c r="I285" s="147">
        <f>I286</f>
        <v>135.20000000000005</v>
      </c>
      <c r="J285" s="147">
        <f>J286</f>
        <v>135.20000000000005</v>
      </c>
      <c r="K285" s="147">
        <f>K286</f>
        <v>107.4</v>
      </c>
    </row>
    <row r="286" spans="1:11" ht="31.5">
      <c r="A286" s="148" t="s">
        <v>127</v>
      </c>
      <c r="B286" s="143" t="s">
        <v>17</v>
      </c>
      <c r="C286" s="143" t="s">
        <v>13</v>
      </c>
      <c r="D286" s="143" t="s">
        <v>61</v>
      </c>
      <c r="E286" s="144">
        <v>3</v>
      </c>
      <c r="F286" s="143" t="s">
        <v>282</v>
      </c>
      <c r="G286" s="143" t="s">
        <v>341</v>
      </c>
      <c r="H286" s="144">
        <v>240</v>
      </c>
      <c r="I286" s="147">
        <f>'Приложение 6'!J277</f>
        <v>135.20000000000005</v>
      </c>
      <c r="J286" s="147">
        <f>'Приложение 6'!K277</f>
        <v>135.20000000000005</v>
      </c>
      <c r="K286" s="147">
        <f>'Приложение 6'!L277</f>
        <v>107.4</v>
      </c>
    </row>
    <row r="287" spans="1:11" ht="15.75">
      <c r="A287" s="148" t="s">
        <v>72</v>
      </c>
      <c r="B287" s="143" t="s">
        <v>17</v>
      </c>
      <c r="C287" s="143" t="s">
        <v>13</v>
      </c>
      <c r="D287" s="143" t="s">
        <v>61</v>
      </c>
      <c r="E287" s="144">
        <v>3</v>
      </c>
      <c r="F287" s="143" t="s">
        <v>282</v>
      </c>
      <c r="G287" s="143" t="s">
        <v>334</v>
      </c>
      <c r="H287" s="144"/>
      <c r="I287" s="147">
        <f>I288</f>
        <v>685.2</v>
      </c>
      <c r="J287" s="147">
        <f>J288</f>
        <v>685.2</v>
      </c>
      <c r="K287" s="147">
        <f>K288</f>
        <v>621.20000000000005</v>
      </c>
    </row>
    <row r="288" spans="1:11" ht="31.5">
      <c r="A288" s="148" t="s">
        <v>127</v>
      </c>
      <c r="B288" s="143" t="s">
        <v>17</v>
      </c>
      <c r="C288" s="143" t="s">
        <v>13</v>
      </c>
      <c r="D288" s="143" t="s">
        <v>61</v>
      </c>
      <c r="E288" s="144">
        <v>3</v>
      </c>
      <c r="F288" s="143" t="s">
        <v>282</v>
      </c>
      <c r="G288" s="143" t="s">
        <v>334</v>
      </c>
      <c r="H288" s="144">
        <v>240</v>
      </c>
      <c r="I288" s="147">
        <f>'Приложение 6'!J279</f>
        <v>685.2</v>
      </c>
      <c r="J288" s="147">
        <f>'Приложение 6'!K279</f>
        <v>685.2</v>
      </c>
      <c r="K288" s="147">
        <f>'Приложение 6'!L279</f>
        <v>621.20000000000005</v>
      </c>
    </row>
    <row r="289" spans="1:11" ht="15.75">
      <c r="A289" s="152" t="s">
        <v>255</v>
      </c>
      <c r="B289" s="143">
        <v>10</v>
      </c>
      <c r="C289" s="143"/>
      <c r="D289" s="143"/>
      <c r="E289" s="144"/>
      <c r="F289" s="143"/>
      <c r="G289" s="143"/>
      <c r="H289" s="144"/>
      <c r="I289" s="147">
        <f>I290</f>
        <v>705</v>
      </c>
      <c r="J289" s="147">
        <f>J290</f>
        <v>705</v>
      </c>
      <c r="K289" s="147">
        <f>K290</f>
        <v>656.4</v>
      </c>
    </row>
    <row r="290" spans="1:11" ht="15.75">
      <c r="A290" s="146" t="s">
        <v>36</v>
      </c>
      <c r="B290" s="143" t="s">
        <v>33</v>
      </c>
      <c r="C290" s="143" t="s">
        <v>10</v>
      </c>
      <c r="D290" s="143"/>
      <c r="E290" s="143"/>
      <c r="F290" s="143"/>
      <c r="G290" s="143"/>
      <c r="H290" s="144"/>
      <c r="I290" s="147">
        <f>I291+I295+I299</f>
        <v>705</v>
      </c>
      <c r="J290" s="147">
        <f>J291+J295+J299</f>
        <v>705</v>
      </c>
      <c r="K290" s="147">
        <f>K291+K295+K299</f>
        <v>656.4</v>
      </c>
    </row>
    <row r="291" spans="1:11" ht="15.75">
      <c r="A291" s="146" t="s">
        <v>0</v>
      </c>
      <c r="B291" s="143" t="s">
        <v>33</v>
      </c>
      <c r="C291" s="143" t="s">
        <v>10</v>
      </c>
      <c r="D291" s="143">
        <v>94</v>
      </c>
      <c r="E291" s="144">
        <v>0</v>
      </c>
      <c r="F291" s="143" t="s">
        <v>282</v>
      </c>
      <c r="G291" s="143" t="s">
        <v>362</v>
      </c>
      <c r="H291" s="144"/>
      <c r="I291" s="147">
        <f>I292</f>
        <v>40</v>
      </c>
      <c r="J291" s="147">
        <f t="shared" ref="J291:K293" si="36">J292</f>
        <v>40</v>
      </c>
      <c r="K291" s="147">
        <f t="shared" si="36"/>
        <v>40</v>
      </c>
    </row>
    <row r="292" spans="1:11" ht="15.75">
      <c r="A292" s="146" t="s">
        <v>1</v>
      </c>
      <c r="B292" s="143" t="s">
        <v>33</v>
      </c>
      <c r="C292" s="143" t="s">
        <v>10</v>
      </c>
      <c r="D292" s="143">
        <v>94</v>
      </c>
      <c r="E292" s="144">
        <v>1</v>
      </c>
      <c r="F292" s="143" t="s">
        <v>282</v>
      </c>
      <c r="G292" s="143" t="s">
        <v>362</v>
      </c>
      <c r="H292" s="144" t="s">
        <v>6</v>
      </c>
      <c r="I292" s="147">
        <f>I293</f>
        <v>40</v>
      </c>
      <c r="J292" s="147">
        <f t="shared" si="36"/>
        <v>40</v>
      </c>
      <c r="K292" s="147">
        <f t="shared" si="36"/>
        <v>40</v>
      </c>
    </row>
    <row r="293" spans="1:11" ht="15.75">
      <c r="A293" s="146" t="s">
        <v>1</v>
      </c>
      <c r="B293" s="143" t="s">
        <v>33</v>
      </c>
      <c r="C293" s="143" t="s">
        <v>10</v>
      </c>
      <c r="D293" s="143">
        <v>94</v>
      </c>
      <c r="E293" s="144">
        <v>1</v>
      </c>
      <c r="F293" s="143" t="s">
        <v>282</v>
      </c>
      <c r="G293" s="143" t="s">
        <v>293</v>
      </c>
      <c r="H293" s="144"/>
      <c r="I293" s="147">
        <f>I294</f>
        <v>40</v>
      </c>
      <c r="J293" s="147">
        <f t="shared" si="36"/>
        <v>40</v>
      </c>
      <c r="K293" s="147">
        <f t="shared" si="36"/>
        <v>40</v>
      </c>
    </row>
    <row r="294" spans="1:11" ht="15.75">
      <c r="A294" s="146" t="s">
        <v>109</v>
      </c>
      <c r="B294" s="143" t="s">
        <v>33</v>
      </c>
      <c r="C294" s="143" t="s">
        <v>10</v>
      </c>
      <c r="D294" s="143">
        <v>94</v>
      </c>
      <c r="E294" s="144">
        <v>1</v>
      </c>
      <c r="F294" s="143" t="s">
        <v>282</v>
      </c>
      <c r="G294" s="143" t="s">
        <v>293</v>
      </c>
      <c r="H294" s="143" t="s">
        <v>108</v>
      </c>
      <c r="I294" s="147">
        <f>'Приложение 6'!J285</f>
        <v>40</v>
      </c>
      <c r="J294" s="147">
        <f>'Приложение 6'!K285</f>
        <v>40</v>
      </c>
      <c r="K294" s="147">
        <f>'Приложение 6'!L285</f>
        <v>40</v>
      </c>
    </row>
    <row r="295" spans="1:11" ht="15.75">
      <c r="A295" s="148" t="s">
        <v>79</v>
      </c>
      <c r="B295" s="143" t="s">
        <v>33</v>
      </c>
      <c r="C295" s="143" t="s">
        <v>10</v>
      </c>
      <c r="D295" s="143" t="s">
        <v>78</v>
      </c>
      <c r="E295" s="144">
        <v>0</v>
      </c>
      <c r="F295" s="143" t="s">
        <v>282</v>
      </c>
      <c r="G295" s="143" t="s">
        <v>362</v>
      </c>
      <c r="H295" s="144"/>
      <c r="I295" s="147">
        <f>I296</f>
        <v>605</v>
      </c>
      <c r="J295" s="147">
        <f t="shared" ref="J295:K297" si="37">J296</f>
        <v>605</v>
      </c>
      <c r="K295" s="147">
        <f t="shared" si="37"/>
        <v>571.4</v>
      </c>
    </row>
    <row r="296" spans="1:11" ht="15.75">
      <c r="A296" s="148" t="s">
        <v>80</v>
      </c>
      <c r="B296" s="143" t="s">
        <v>33</v>
      </c>
      <c r="C296" s="143" t="s">
        <v>10</v>
      </c>
      <c r="D296" s="143" t="s">
        <v>78</v>
      </c>
      <c r="E296" s="144">
        <v>3</v>
      </c>
      <c r="F296" s="143" t="s">
        <v>282</v>
      </c>
      <c r="G296" s="143" t="s">
        <v>362</v>
      </c>
      <c r="H296" s="144"/>
      <c r="I296" s="147">
        <f>I297</f>
        <v>605</v>
      </c>
      <c r="J296" s="147">
        <f t="shared" si="37"/>
        <v>605</v>
      </c>
      <c r="K296" s="147">
        <f t="shared" si="37"/>
        <v>571.4</v>
      </c>
    </row>
    <row r="297" spans="1:11" ht="31.5">
      <c r="A297" s="148" t="s">
        <v>81</v>
      </c>
      <c r="B297" s="143" t="s">
        <v>33</v>
      </c>
      <c r="C297" s="143" t="s">
        <v>10</v>
      </c>
      <c r="D297" s="143" t="s">
        <v>78</v>
      </c>
      <c r="E297" s="144">
        <v>3</v>
      </c>
      <c r="F297" s="143" t="s">
        <v>282</v>
      </c>
      <c r="G297" s="143" t="s">
        <v>342</v>
      </c>
      <c r="H297" s="144"/>
      <c r="I297" s="147">
        <f>I298</f>
        <v>605</v>
      </c>
      <c r="J297" s="147">
        <f t="shared" si="37"/>
        <v>605</v>
      </c>
      <c r="K297" s="147">
        <f t="shared" si="37"/>
        <v>571.4</v>
      </c>
    </row>
    <row r="298" spans="1:11" ht="31.5">
      <c r="A298" s="148" t="s">
        <v>415</v>
      </c>
      <c r="B298" s="143" t="s">
        <v>33</v>
      </c>
      <c r="C298" s="143" t="s">
        <v>10</v>
      </c>
      <c r="D298" s="143" t="s">
        <v>78</v>
      </c>
      <c r="E298" s="144">
        <v>3</v>
      </c>
      <c r="F298" s="143" t="s">
        <v>282</v>
      </c>
      <c r="G298" s="143" t="s">
        <v>342</v>
      </c>
      <c r="H298" s="144">
        <v>810</v>
      </c>
      <c r="I298" s="147">
        <f>'Приложение 6'!J289</f>
        <v>605</v>
      </c>
      <c r="J298" s="147">
        <f>'Приложение 6'!K289</f>
        <v>605</v>
      </c>
      <c r="K298" s="147">
        <f>'Приложение 6'!L289</f>
        <v>571.4</v>
      </c>
    </row>
    <row r="299" spans="1:11" ht="15.75">
      <c r="A299" s="148" t="s">
        <v>54</v>
      </c>
      <c r="B299" s="143" t="s">
        <v>33</v>
      </c>
      <c r="C299" s="143" t="s">
        <v>10</v>
      </c>
      <c r="D299" s="143" t="s">
        <v>42</v>
      </c>
      <c r="E299" s="144">
        <v>0</v>
      </c>
      <c r="F299" s="143" t="s">
        <v>282</v>
      </c>
      <c r="G299" s="143" t="s">
        <v>362</v>
      </c>
      <c r="H299" s="144"/>
      <c r="I299" s="147">
        <f>I300</f>
        <v>60</v>
      </c>
      <c r="J299" s="147">
        <f t="shared" ref="J299:K301" si="38">J300</f>
        <v>60</v>
      </c>
      <c r="K299" s="147">
        <f t="shared" si="38"/>
        <v>45</v>
      </c>
    </row>
    <row r="300" spans="1:11" ht="15.75">
      <c r="A300" s="148" t="s">
        <v>55</v>
      </c>
      <c r="B300" s="143" t="s">
        <v>33</v>
      </c>
      <c r="C300" s="143" t="s">
        <v>10</v>
      </c>
      <c r="D300" s="143" t="s">
        <v>42</v>
      </c>
      <c r="E300" s="144">
        <v>9</v>
      </c>
      <c r="F300" s="143" t="s">
        <v>282</v>
      </c>
      <c r="G300" s="143" t="s">
        <v>362</v>
      </c>
      <c r="H300" s="144"/>
      <c r="I300" s="147">
        <f>I301</f>
        <v>60</v>
      </c>
      <c r="J300" s="147">
        <f t="shared" si="38"/>
        <v>60</v>
      </c>
      <c r="K300" s="147">
        <f t="shared" si="38"/>
        <v>45</v>
      </c>
    </row>
    <row r="301" spans="1:11" ht="15.75">
      <c r="A301" s="148" t="s">
        <v>343</v>
      </c>
      <c r="B301" s="143" t="s">
        <v>33</v>
      </c>
      <c r="C301" s="143" t="s">
        <v>10</v>
      </c>
      <c r="D301" s="143" t="s">
        <v>42</v>
      </c>
      <c r="E301" s="144">
        <v>9</v>
      </c>
      <c r="F301" s="143" t="s">
        <v>282</v>
      </c>
      <c r="G301" s="143" t="s">
        <v>344</v>
      </c>
      <c r="H301" s="144"/>
      <c r="I301" s="145">
        <f>I302</f>
        <v>60</v>
      </c>
      <c r="J301" s="145">
        <f t="shared" si="38"/>
        <v>60</v>
      </c>
      <c r="K301" s="145">
        <f t="shared" si="38"/>
        <v>45</v>
      </c>
    </row>
    <row r="302" spans="1:11" ht="15.75">
      <c r="A302" s="148" t="s">
        <v>110</v>
      </c>
      <c r="B302" s="143" t="s">
        <v>33</v>
      </c>
      <c r="C302" s="143" t="s">
        <v>10</v>
      </c>
      <c r="D302" s="143" t="s">
        <v>42</v>
      </c>
      <c r="E302" s="144">
        <v>9</v>
      </c>
      <c r="F302" s="143" t="s">
        <v>282</v>
      </c>
      <c r="G302" s="143" t="s">
        <v>344</v>
      </c>
      <c r="H302" s="144">
        <v>310</v>
      </c>
      <c r="I302" s="145">
        <f>'Приложение 6'!J293</f>
        <v>60</v>
      </c>
      <c r="J302" s="145">
        <f>'Приложение 6'!K293</f>
        <v>60</v>
      </c>
      <c r="K302" s="145">
        <f>'Приложение 6'!L293</f>
        <v>45</v>
      </c>
    </row>
    <row r="303" spans="1:11" ht="15.75">
      <c r="A303" s="152" t="s">
        <v>256</v>
      </c>
      <c r="B303" s="143">
        <v>11</v>
      </c>
      <c r="C303" s="143"/>
      <c r="D303" s="143"/>
      <c r="E303" s="144"/>
      <c r="F303" s="143"/>
      <c r="G303" s="143"/>
      <c r="H303" s="144"/>
      <c r="I303" s="147">
        <f>I304</f>
        <v>2595</v>
      </c>
      <c r="J303" s="147">
        <f t="shared" ref="J303:K305" si="39">J304</f>
        <v>2595</v>
      </c>
      <c r="K303" s="147">
        <f t="shared" si="39"/>
        <v>1877.3</v>
      </c>
    </row>
    <row r="304" spans="1:11" ht="15.75">
      <c r="A304" s="146" t="s">
        <v>31</v>
      </c>
      <c r="B304" s="143">
        <v>11</v>
      </c>
      <c r="C304" s="143" t="s">
        <v>14</v>
      </c>
      <c r="D304" s="143"/>
      <c r="E304" s="144"/>
      <c r="F304" s="143"/>
      <c r="G304" s="143"/>
      <c r="H304" s="144"/>
      <c r="I304" s="147">
        <f>I305</f>
        <v>2595</v>
      </c>
      <c r="J304" s="147">
        <f t="shared" si="39"/>
        <v>2595</v>
      </c>
      <c r="K304" s="147">
        <f t="shared" si="39"/>
        <v>1877.3</v>
      </c>
    </row>
    <row r="305" spans="1:11" ht="31.5">
      <c r="A305" s="148" t="s">
        <v>485</v>
      </c>
      <c r="B305" s="143" t="s">
        <v>34</v>
      </c>
      <c r="C305" s="143" t="s">
        <v>14</v>
      </c>
      <c r="D305" s="143" t="s">
        <v>61</v>
      </c>
      <c r="E305" s="144">
        <v>0</v>
      </c>
      <c r="F305" s="143" t="s">
        <v>282</v>
      </c>
      <c r="G305" s="143" t="s">
        <v>362</v>
      </c>
      <c r="H305" s="144"/>
      <c r="I305" s="147">
        <f>I306</f>
        <v>2595</v>
      </c>
      <c r="J305" s="147">
        <f t="shared" si="39"/>
        <v>2595</v>
      </c>
      <c r="K305" s="147">
        <f t="shared" si="39"/>
        <v>1877.3</v>
      </c>
    </row>
    <row r="306" spans="1:11" ht="31.5">
      <c r="A306" s="148" t="s">
        <v>82</v>
      </c>
      <c r="B306" s="143" t="s">
        <v>34</v>
      </c>
      <c r="C306" s="143" t="s">
        <v>14</v>
      </c>
      <c r="D306" s="143" t="s">
        <v>61</v>
      </c>
      <c r="E306" s="144">
        <v>4</v>
      </c>
      <c r="F306" s="143" t="s">
        <v>282</v>
      </c>
      <c r="G306" s="143" t="s">
        <v>362</v>
      </c>
      <c r="H306" s="144"/>
      <c r="I306" s="147">
        <f>I307+I309+I311</f>
        <v>2595</v>
      </c>
      <c r="J306" s="147">
        <f>J307+J309+J311</f>
        <v>2595</v>
      </c>
      <c r="K306" s="147">
        <f>K307+K309+K311</f>
        <v>1877.3</v>
      </c>
    </row>
    <row r="307" spans="1:11" ht="15.75">
      <c r="A307" s="148" t="s">
        <v>83</v>
      </c>
      <c r="B307" s="143" t="s">
        <v>34</v>
      </c>
      <c r="C307" s="143" t="s">
        <v>14</v>
      </c>
      <c r="D307" s="143" t="s">
        <v>61</v>
      </c>
      <c r="E307" s="144">
        <v>4</v>
      </c>
      <c r="F307" s="143" t="s">
        <v>282</v>
      </c>
      <c r="G307" s="143" t="s">
        <v>345</v>
      </c>
      <c r="H307" s="144"/>
      <c r="I307" s="147">
        <f>I308</f>
        <v>195</v>
      </c>
      <c r="J307" s="147">
        <f>J308</f>
        <v>195</v>
      </c>
      <c r="K307" s="147">
        <f>K308</f>
        <v>194.5</v>
      </c>
    </row>
    <row r="308" spans="1:11" ht="31.5">
      <c r="A308" s="148" t="s">
        <v>127</v>
      </c>
      <c r="B308" s="143" t="s">
        <v>34</v>
      </c>
      <c r="C308" s="143" t="s">
        <v>14</v>
      </c>
      <c r="D308" s="143" t="s">
        <v>61</v>
      </c>
      <c r="E308" s="144">
        <v>4</v>
      </c>
      <c r="F308" s="143" t="s">
        <v>282</v>
      </c>
      <c r="G308" s="143" t="s">
        <v>345</v>
      </c>
      <c r="H308" s="144">
        <v>240</v>
      </c>
      <c r="I308" s="147">
        <f>'Приложение 6'!J299</f>
        <v>195</v>
      </c>
      <c r="J308" s="147">
        <f>'Приложение 6'!K299</f>
        <v>195</v>
      </c>
      <c r="K308" s="147">
        <f>'Приложение 6'!L299</f>
        <v>194.5</v>
      </c>
    </row>
    <row r="309" spans="1:11" ht="15.75">
      <c r="A309" s="148" t="s">
        <v>68</v>
      </c>
      <c r="B309" s="143" t="s">
        <v>34</v>
      </c>
      <c r="C309" s="143" t="s">
        <v>14</v>
      </c>
      <c r="D309" s="143" t="s">
        <v>61</v>
      </c>
      <c r="E309" s="144">
        <v>4</v>
      </c>
      <c r="F309" s="143" t="s">
        <v>282</v>
      </c>
      <c r="G309" s="143" t="s">
        <v>326</v>
      </c>
      <c r="H309" s="144"/>
      <c r="I309" s="147">
        <f>I310</f>
        <v>900</v>
      </c>
      <c r="J309" s="147">
        <f>J310</f>
        <v>900</v>
      </c>
      <c r="K309" s="147">
        <f>K310</f>
        <v>804.8</v>
      </c>
    </row>
    <row r="310" spans="1:11" ht="31.5">
      <c r="A310" s="148" t="s">
        <v>127</v>
      </c>
      <c r="B310" s="143" t="s">
        <v>34</v>
      </c>
      <c r="C310" s="143" t="s">
        <v>14</v>
      </c>
      <c r="D310" s="143" t="s">
        <v>61</v>
      </c>
      <c r="E310" s="144">
        <v>4</v>
      </c>
      <c r="F310" s="143" t="s">
        <v>282</v>
      </c>
      <c r="G310" s="143" t="s">
        <v>326</v>
      </c>
      <c r="H310" s="144">
        <v>240</v>
      </c>
      <c r="I310" s="147">
        <f>'Приложение 6'!J301</f>
        <v>900</v>
      </c>
      <c r="J310" s="147">
        <f>'Приложение 6'!K301</f>
        <v>900</v>
      </c>
      <c r="K310" s="147">
        <f>'Приложение 6'!L301</f>
        <v>804.8</v>
      </c>
    </row>
    <row r="311" spans="1:11" ht="15.75">
      <c r="A311" s="148" t="s">
        <v>84</v>
      </c>
      <c r="B311" s="143" t="s">
        <v>34</v>
      </c>
      <c r="C311" s="143" t="s">
        <v>14</v>
      </c>
      <c r="D311" s="143" t="s">
        <v>61</v>
      </c>
      <c r="E311" s="144">
        <v>4</v>
      </c>
      <c r="F311" s="143" t="s">
        <v>282</v>
      </c>
      <c r="G311" s="143" t="s">
        <v>346</v>
      </c>
      <c r="H311" s="144"/>
      <c r="I311" s="147">
        <f>I312</f>
        <v>1500</v>
      </c>
      <c r="J311" s="147">
        <f>J312</f>
        <v>1500</v>
      </c>
      <c r="K311" s="147">
        <f>K312</f>
        <v>878</v>
      </c>
    </row>
    <row r="312" spans="1:11" ht="31.5">
      <c r="A312" s="148" t="s">
        <v>127</v>
      </c>
      <c r="B312" s="143" t="s">
        <v>34</v>
      </c>
      <c r="C312" s="143" t="s">
        <v>14</v>
      </c>
      <c r="D312" s="143" t="s">
        <v>61</v>
      </c>
      <c r="E312" s="144">
        <v>4</v>
      </c>
      <c r="F312" s="143" t="s">
        <v>282</v>
      </c>
      <c r="G312" s="143" t="s">
        <v>346</v>
      </c>
      <c r="H312" s="144">
        <v>240</v>
      </c>
      <c r="I312" s="147">
        <f>'Приложение 6'!J303</f>
        <v>1500</v>
      </c>
      <c r="J312" s="147">
        <f>'Приложение 6'!K303</f>
        <v>1500</v>
      </c>
      <c r="K312" s="147">
        <f>'Приложение 6'!L303</f>
        <v>878</v>
      </c>
    </row>
    <row r="313" spans="1:11" ht="15.75">
      <c r="A313" s="152" t="s">
        <v>349</v>
      </c>
      <c r="B313" s="143" t="s">
        <v>40</v>
      </c>
      <c r="C313" s="143"/>
      <c r="D313" s="143"/>
      <c r="E313" s="144"/>
      <c r="F313" s="143"/>
      <c r="G313" s="143"/>
      <c r="H313" s="144"/>
      <c r="I313" s="147">
        <f>I314</f>
        <v>1000</v>
      </c>
      <c r="J313" s="147">
        <f t="shared" ref="J313:K317" si="40">J314</f>
        <v>1000</v>
      </c>
      <c r="K313" s="147">
        <f t="shared" si="40"/>
        <v>728</v>
      </c>
    </row>
    <row r="314" spans="1:11" ht="15.75">
      <c r="A314" s="146" t="s">
        <v>347</v>
      </c>
      <c r="B314" s="143" t="s">
        <v>40</v>
      </c>
      <c r="C314" s="143" t="s">
        <v>11</v>
      </c>
      <c r="D314" s="143"/>
      <c r="E314" s="144"/>
      <c r="F314" s="143"/>
      <c r="G314" s="143"/>
      <c r="H314" s="144"/>
      <c r="I314" s="147">
        <f>I315</f>
        <v>1000</v>
      </c>
      <c r="J314" s="147">
        <f t="shared" si="40"/>
        <v>1000</v>
      </c>
      <c r="K314" s="147">
        <f t="shared" si="40"/>
        <v>728</v>
      </c>
    </row>
    <row r="315" spans="1:11" ht="47.25">
      <c r="A315" s="148" t="s">
        <v>463</v>
      </c>
      <c r="B315" s="143" t="s">
        <v>40</v>
      </c>
      <c r="C315" s="143" t="s">
        <v>11</v>
      </c>
      <c r="D315" s="143" t="s">
        <v>34</v>
      </c>
      <c r="E315" s="144">
        <v>0</v>
      </c>
      <c r="F315" s="143" t="s">
        <v>282</v>
      </c>
      <c r="G315" s="143" t="s">
        <v>362</v>
      </c>
      <c r="H315" s="144"/>
      <c r="I315" s="147">
        <f>I316</f>
        <v>1000</v>
      </c>
      <c r="J315" s="147">
        <f t="shared" si="40"/>
        <v>1000</v>
      </c>
      <c r="K315" s="147">
        <f t="shared" si="40"/>
        <v>728</v>
      </c>
    </row>
    <row r="316" spans="1:11" ht="15.75">
      <c r="A316" s="148" t="s">
        <v>280</v>
      </c>
      <c r="B316" s="143" t="s">
        <v>40</v>
      </c>
      <c r="C316" s="143" t="s">
        <v>11</v>
      </c>
      <c r="D316" s="143" t="s">
        <v>34</v>
      </c>
      <c r="E316" s="143" t="s">
        <v>118</v>
      </c>
      <c r="F316" s="143" t="s">
        <v>9</v>
      </c>
      <c r="G316" s="143" t="s">
        <v>362</v>
      </c>
      <c r="H316" s="143"/>
      <c r="I316" s="147">
        <f>I317</f>
        <v>1000</v>
      </c>
      <c r="J316" s="147">
        <f t="shared" si="40"/>
        <v>1000</v>
      </c>
      <c r="K316" s="147">
        <f t="shared" si="40"/>
        <v>728</v>
      </c>
    </row>
    <row r="317" spans="1:11" ht="15.75">
      <c r="A317" s="148" t="s">
        <v>280</v>
      </c>
      <c r="B317" s="143" t="s">
        <v>40</v>
      </c>
      <c r="C317" s="143" t="s">
        <v>11</v>
      </c>
      <c r="D317" s="143" t="s">
        <v>34</v>
      </c>
      <c r="E317" s="143" t="s">
        <v>118</v>
      </c>
      <c r="F317" s="143" t="s">
        <v>9</v>
      </c>
      <c r="G317" s="143" t="s">
        <v>281</v>
      </c>
      <c r="H317" s="143"/>
      <c r="I317" s="147">
        <f>I318</f>
        <v>1000</v>
      </c>
      <c r="J317" s="147">
        <f t="shared" si="40"/>
        <v>1000</v>
      </c>
      <c r="K317" s="147">
        <f t="shared" si="40"/>
        <v>728</v>
      </c>
    </row>
    <row r="318" spans="1:11" ht="31.5">
      <c r="A318" s="148" t="s">
        <v>127</v>
      </c>
      <c r="B318" s="143" t="s">
        <v>40</v>
      </c>
      <c r="C318" s="143" t="s">
        <v>11</v>
      </c>
      <c r="D318" s="143" t="s">
        <v>34</v>
      </c>
      <c r="E318" s="143" t="s">
        <v>118</v>
      </c>
      <c r="F318" s="143" t="s">
        <v>9</v>
      </c>
      <c r="G318" s="143" t="s">
        <v>281</v>
      </c>
      <c r="H318" s="143" t="s">
        <v>117</v>
      </c>
      <c r="I318" s="147">
        <f>'Приложение 6'!J309</f>
        <v>1000</v>
      </c>
      <c r="J318" s="147">
        <f>'Приложение 6'!K309</f>
        <v>1000</v>
      </c>
      <c r="K318" s="147">
        <f>'Приложение 6'!L309</f>
        <v>728</v>
      </c>
    </row>
    <row r="319" spans="1:11" ht="15.75">
      <c r="A319" s="157" t="s">
        <v>134</v>
      </c>
      <c r="B319" s="158"/>
      <c r="C319" s="159"/>
      <c r="D319" s="158"/>
      <c r="E319" s="159"/>
      <c r="F319" s="158"/>
      <c r="G319" s="160"/>
      <c r="H319" s="160"/>
      <c r="I319" s="161">
        <f>I12+I110+I117+I135+I160+I232+I238+I248+I289+I303+I313</f>
        <v>159779.80000000002</v>
      </c>
      <c r="J319" s="161">
        <f>J12+J110+J117+J135+J160+J232+J238+J248+J289+J303+J313</f>
        <v>159778.9</v>
      </c>
      <c r="K319" s="161">
        <f>K12+K110+K117+K135+K160+K232+K238+K248+K289+K303+K313</f>
        <v>124506.5</v>
      </c>
    </row>
    <row r="320" spans="1:11">
      <c r="A320" s="99"/>
      <c r="B320" s="124"/>
      <c r="C320" s="124"/>
      <c r="D320" s="124"/>
      <c r="E320" s="125"/>
      <c r="F320" s="125"/>
      <c r="G320" s="99"/>
      <c r="H320" s="99"/>
      <c r="I320" s="126"/>
      <c r="J320" s="126"/>
      <c r="K320" s="126"/>
    </row>
    <row r="321" spans="1:11">
      <c r="A321" s="99"/>
      <c r="B321" s="124"/>
      <c r="C321" s="124"/>
      <c r="D321" s="124"/>
      <c r="E321" s="125"/>
      <c r="F321" s="125"/>
      <c r="G321" s="99"/>
      <c r="H321" s="99"/>
      <c r="I321" s="126"/>
      <c r="J321" s="126"/>
      <c r="K321" s="126"/>
    </row>
    <row r="322" spans="1:11">
      <c r="A322" s="99"/>
      <c r="B322" s="124"/>
      <c r="C322" s="124"/>
      <c r="D322" s="124"/>
      <c r="E322" s="125"/>
      <c r="F322" s="125"/>
      <c r="G322" s="99"/>
      <c r="H322" s="99"/>
      <c r="I322" s="126"/>
      <c r="J322" s="126"/>
      <c r="K322" s="126"/>
    </row>
  </sheetData>
  <mergeCells count="8">
    <mergeCell ref="D11:G11"/>
    <mergeCell ref="A9:K9"/>
    <mergeCell ref="B34:B35"/>
    <mergeCell ref="C34:C35"/>
    <mergeCell ref="D34:D35"/>
    <mergeCell ref="E34:E35"/>
    <mergeCell ref="F34:F35"/>
    <mergeCell ref="G34:G35"/>
  </mergeCells>
  <phoneticPr fontId="2" type="noConversion"/>
  <pageMargins left="0.78740157480314965" right="0.39370078740157483" top="0.39370078740157483" bottom="0.39370078740157483" header="0.27559055118110237" footer="0.31496062992125984"/>
  <pageSetup paperSize="9" scale="78" fitToHeight="3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Z325"/>
  <sheetViews>
    <sheetView view="pageBreakPreview" zoomScaleNormal="100" zoomScaleSheetLayoutView="100" workbookViewId="0"/>
  </sheetViews>
  <sheetFormatPr defaultRowHeight="15"/>
  <cols>
    <col min="1" max="1" width="124.5703125" style="8" customWidth="1"/>
    <col min="2" max="2" width="4.7109375" style="9" customWidth="1"/>
    <col min="3" max="3" width="4.5703125" style="9" customWidth="1"/>
    <col min="4" max="4" width="3.7109375" style="9" customWidth="1"/>
    <col min="5" max="5" width="3.7109375" style="10" customWidth="1"/>
    <col min="6" max="7" width="3.85546875" style="9" customWidth="1"/>
    <col min="8" max="8" width="6.7109375" style="10" bestFit="1" customWidth="1"/>
    <col min="9" max="9" width="5.28515625" style="9" customWidth="1"/>
    <col min="10" max="11" width="15.28515625" style="14" customWidth="1"/>
    <col min="12" max="12" width="11.85546875" style="8" customWidth="1"/>
    <col min="13" max="16384" width="9.140625" style="8"/>
  </cols>
  <sheetData>
    <row r="1" spans="1:12" ht="15.75">
      <c r="A1" s="126"/>
      <c r="B1" s="162"/>
      <c r="C1" s="162"/>
      <c r="D1" s="162"/>
      <c r="E1" s="163"/>
      <c r="F1" s="162"/>
      <c r="G1" s="162"/>
      <c r="H1" s="163"/>
      <c r="I1" s="162"/>
      <c r="J1" s="164"/>
      <c r="K1" s="164"/>
      <c r="L1" s="101" t="s">
        <v>125</v>
      </c>
    </row>
    <row r="2" spans="1:12" ht="15.75">
      <c r="A2" s="126"/>
      <c r="B2" s="162"/>
      <c r="C2" s="162"/>
      <c r="D2" s="162"/>
      <c r="E2" s="163"/>
      <c r="F2" s="162"/>
      <c r="G2" s="162"/>
      <c r="H2" s="163"/>
      <c r="I2" s="162"/>
      <c r="J2" s="164"/>
      <c r="K2" s="164"/>
      <c r="L2" s="101" t="s">
        <v>218</v>
      </c>
    </row>
    <row r="3" spans="1:12" ht="15.75">
      <c r="A3" s="126"/>
      <c r="B3" s="162"/>
      <c r="C3" s="162"/>
      <c r="D3" s="162"/>
      <c r="E3" s="163"/>
      <c r="F3" s="162"/>
      <c r="G3" s="162"/>
      <c r="H3" s="163"/>
      <c r="I3" s="162"/>
      <c r="J3" s="164"/>
      <c r="K3" s="164"/>
      <c r="L3" s="101" t="s">
        <v>432</v>
      </c>
    </row>
    <row r="4" spans="1:12" ht="15.75">
      <c r="A4" s="126"/>
      <c r="B4" s="124"/>
      <c r="C4" s="162"/>
      <c r="D4" s="162"/>
      <c r="E4" s="163"/>
      <c r="F4" s="162"/>
      <c r="G4" s="162"/>
      <c r="H4" s="163"/>
      <c r="I4" s="162"/>
      <c r="J4" s="164"/>
      <c r="K4" s="164"/>
      <c r="L4" s="101" t="s">
        <v>492</v>
      </c>
    </row>
    <row r="5" spans="1:12" ht="15.75">
      <c r="A5" s="126"/>
      <c r="B5" s="162"/>
      <c r="C5" s="162"/>
      <c r="D5" s="162"/>
      <c r="E5" s="163"/>
      <c r="F5" s="162"/>
      <c r="G5" s="162"/>
      <c r="H5" s="163"/>
      <c r="I5" s="162"/>
      <c r="J5" s="164"/>
      <c r="K5" s="164"/>
      <c r="L5" s="101" t="str">
        <f>'Приложение 1'!D5</f>
        <v>от "09" июня 2021 года №38-153</v>
      </c>
    </row>
    <row r="6" spans="1:12" ht="12.75" customHeight="1">
      <c r="A6" s="126"/>
      <c r="B6" s="162"/>
      <c r="C6" s="162"/>
      <c r="D6" s="162"/>
      <c r="E6" s="163"/>
      <c r="F6" s="162"/>
      <c r="G6" s="162"/>
      <c r="H6" s="163"/>
      <c r="I6" s="162"/>
      <c r="J6" s="165"/>
      <c r="K6" s="165"/>
      <c r="L6" s="126"/>
    </row>
    <row r="7" spans="1:12" ht="86.25" customHeight="1">
      <c r="A7" s="251" t="s">
        <v>527</v>
      </c>
      <c r="B7" s="257"/>
      <c r="C7" s="257"/>
      <c r="D7" s="257"/>
      <c r="E7" s="257"/>
      <c r="F7" s="257"/>
      <c r="G7" s="257"/>
      <c r="H7" s="257"/>
      <c r="I7" s="257"/>
      <c r="J7" s="257"/>
      <c r="K7" s="257"/>
      <c r="L7" s="257"/>
    </row>
    <row r="8" spans="1:12" ht="15.75">
      <c r="A8" s="126"/>
      <c r="B8" s="162"/>
      <c r="C8" s="162"/>
      <c r="D8" s="162"/>
      <c r="E8" s="163"/>
      <c r="F8" s="162"/>
      <c r="G8" s="162"/>
      <c r="H8" s="163"/>
      <c r="I8" s="162"/>
      <c r="J8" s="164"/>
      <c r="K8" s="164"/>
      <c r="L8" s="89" t="s">
        <v>130</v>
      </c>
    </row>
    <row r="9" spans="1:12" ht="252">
      <c r="A9" s="44" t="s">
        <v>4</v>
      </c>
      <c r="B9" s="44" t="s">
        <v>20</v>
      </c>
      <c r="C9" s="44" t="s">
        <v>245</v>
      </c>
      <c r="D9" s="44" t="s">
        <v>246</v>
      </c>
      <c r="E9" s="254" t="s">
        <v>5</v>
      </c>
      <c r="F9" s="255"/>
      <c r="G9" s="255"/>
      <c r="H9" s="256"/>
      <c r="I9" s="44" t="s">
        <v>528</v>
      </c>
      <c r="J9" s="109" t="s">
        <v>521</v>
      </c>
      <c r="K9" s="92" t="s">
        <v>495</v>
      </c>
      <c r="L9" s="112" t="s">
        <v>223</v>
      </c>
    </row>
    <row r="10" spans="1:12" ht="15.75">
      <c r="A10" s="166" t="s">
        <v>28</v>
      </c>
      <c r="B10" s="167">
        <v>871</v>
      </c>
      <c r="C10" s="168" t="s">
        <v>132</v>
      </c>
      <c r="D10" s="168" t="s">
        <v>132</v>
      </c>
      <c r="E10" s="169" t="s">
        <v>132</v>
      </c>
      <c r="F10" s="170" t="s">
        <v>132</v>
      </c>
      <c r="G10" s="171" t="s">
        <v>132</v>
      </c>
      <c r="H10" s="172" t="s">
        <v>132</v>
      </c>
      <c r="I10" s="170"/>
      <c r="J10" s="173">
        <f>J11+J101+J108+J126+J151+J223+J229+J239+J280+J294+J304</f>
        <v>158736.30000000002</v>
      </c>
      <c r="K10" s="173">
        <f>K11+K101+K108+K126+K151+K223+K229+K239+K280+K294+K304</f>
        <v>158735.4</v>
      </c>
      <c r="L10" s="173">
        <f>L11+L101+L108+L126+L151+L223+L229+L239+L280+L294+L304</f>
        <v>123524.9</v>
      </c>
    </row>
    <row r="11" spans="1:12" ht="15.75">
      <c r="A11" s="135" t="s">
        <v>247</v>
      </c>
      <c r="B11" s="174">
        <v>871</v>
      </c>
      <c r="C11" s="136">
        <v>1</v>
      </c>
      <c r="D11" s="168"/>
      <c r="E11" s="169"/>
      <c r="F11" s="170"/>
      <c r="G11" s="171"/>
      <c r="H11" s="172"/>
      <c r="I11" s="170"/>
      <c r="J11" s="141">
        <f>J12+J37+J42+J47</f>
        <v>25527.599999999999</v>
      </c>
      <c r="K11" s="141">
        <f>K12+K37+K42+K47</f>
        <v>25477.5</v>
      </c>
      <c r="L11" s="141">
        <f>L12+L37+L42+L47</f>
        <v>18675</v>
      </c>
    </row>
    <row r="12" spans="1:12" ht="31.5">
      <c r="A12" s="146" t="s">
        <v>12</v>
      </c>
      <c r="B12" s="175">
        <v>871</v>
      </c>
      <c r="C12" s="143" t="s">
        <v>9</v>
      </c>
      <c r="D12" s="144" t="s">
        <v>13</v>
      </c>
      <c r="E12" s="143" t="s">
        <v>8</v>
      </c>
      <c r="F12" s="144"/>
      <c r="G12" s="143"/>
      <c r="H12" s="143"/>
      <c r="I12" s="144" t="s">
        <v>6</v>
      </c>
      <c r="J12" s="147">
        <f>J13+J24</f>
        <v>12419.300000000001</v>
      </c>
      <c r="K12" s="147">
        <f>K13+K24</f>
        <v>12419.300000000001</v>
      </c>
      <c r="L12" s="147">
        <f>L13+L24</f>
        <v>11672.800000000001</v>
      </c>
    </row>
    <row r="13" spans="1:12" ht="15.75">
      <c r="A13" s="146" t="s">
        <v>99</v>
      </c>
      <c r="B13" s="144">
        <v>871</v>
      </c>
      <c r="C13" s="143" t="s">
        <v>9</v>
      </c>
      <c r="D13" s="144" t="s">
        <v>13</v>
      </c>
      <c r="E13" s="143">
        <v>92</v>
      </c>
      <c r="F13" s="144">
        <v>0</v>
      </c>
      <c r="G13" s="143" t="s">
        <v>282</v>
      </c>
      <c r="H13" s="143" t="s">
        <v>362</v>
      </c>
      <c r="I13" s="144"/>
      <c r="J13" s="147">
        <f>J14+J17</f>
        <v>11721.800000000001</v>
      </c>
      <c r="K13" s="147">
        <f>K14+K17</f>
        <v>11721.800000000001</v>
      </c>
      <c r="L13" s="147">
        <f>L14+L17</f>
        <v>10978.300000000001</v>
      </c>
    </row>
    <row r="14" spans="1:12" ht="15.75">
      <c r="A14" s="149" t="s">
        <v>24</v>
      </c>
      <c r="B14" s="144">
        <v>871</v>
      </c>
      <c r="C14" s="143" t="s">
        <v>9</v>
      </c>
      <c r="D14" s="144" t="s">
        <v>13</v>
      </c>
      <c r="E14" s="143">
        <v>92</v>
      </c>
      <c r="F14" s="144">
        <v>1</v>
      </c>
      <c r="G14" s="143" t="s">
        <v>282</v>
      </c>
      <c r="H14" s="143" t="s">
        <v>362</v>
      </c>
      <c r="I14" s="144"/>
      <c r="J14" s="147">
        <f t="shared" ref="J14:L15" si="0">J15</f>
        <v>1230.5999999999999</v>
      </c>
      <c r="K14" s="147">
        <f t="shared" si="0"/>
        <v>1230.5999999999999</v>
      </c>
      <c r="L14" s="147">
        <f t="shared" si="0"/>
        <v>1103.4000000000001</v>
      </c>
    </row>
    <row r="15" spans="1:12" ht="31.5">
      <c r="A15" s="149" t="s">
        <v>48</v>
      </c>
      <c r="B15" s="144">
        <v>871</v>
      </c>
      <c r="C15" s="143" t="s">
        <v>9</v>
      </c>
      <c r="D15" s="144" t="s">
        <v>13</v>
      </c>
      <c r="E15" s="143">
        <v>92</v>
      </c>
      <c r="F15" s="144">
        <v>1</v>
      </c>
      <c r="G15" s="143" t="s">
        <v>282</v>
      </c>
      <c r="H15" s="143" t="s">
        <v>283</v>
      </c>
      <c r="I15" s="144"/>
      <c r="J15" s="147">
        <f t="shared" si="0"/>
        <v>1230.5999999999999</v>
      </c>
      <c r="K15" s="147">
        <f t="shared" si="0"/>
        <v>1230.5999999999999</v>
      </c>
      <c r="L15" s="147">
        <f t="shared" si="0"/>
        <v>1103.4000000000001</v>
      </c>
    </row>
    <row r="16" spans="1:12" ht="15.75">
      <c r="A16" s="146" t="s">
        <v>106</v>
      </c>
      <c r="B16" s="144">
        <v>871</v>
      </c>
      <c r="C16" s="143" t="s">
        <v>9</v>
      </c>
      <c r="D16" s="144" t="s">
        <v>13</v>
      </c>
      <c r="E16" s="143">
        <v>92</v>
      </c>
      <c r="F16" s="144">
        <v>1</v>
      </c>
      <c r="G16" s="143" t="s">
        <v>282</v>
      </c>
      <c r="H16" s="143" t="s">
        <v>283</v>
      </c>
      <c r="I16" s="144">
        <v>120</v>
      </c>
      <c r="J16" s="147">
        <f>1230.6</f>
        <v>1230.5999999999999</v>
      </c>
      <c r="K16" s="147">
        <f>J16</f>
        <v>1230.5999999999999</v>
      </c>
      <c r="L16" s="147">
        <v>1103.4000000000001</v>
      </c>
    </row>
    <row r="17" spans="1:26" ht="15.75">
      <c r="A17" s="148" t="s">
        <v>98</v>
      </c>
      <c r="B17" s="144">
        <v>871</v>
      </c>
      <c r="C17" s="143" t="s">
        <v>9</v>
      </c>
      <c r="D17" s="144" t="s">
        <v>13</v>
      </c>
      <c r="E17" s="143">
        <v>92</v>
      </c>
      <c r="F17" s="144">
        <v>2</v>
      </c>
      <c r="G17" s="143" t="s">
        <v>282</v>
      </c>
      <c r="H17" s="143" t="s">
        <v>362</v>
      </c>
      <c r="I17" s="144"/>
      <c r="J17" s="147">
        <f>J18+J20</f>
        <v>10491.2</v>
      </c>
      <c r="K17" s="147">
        <f>K18+K20</f>
        <v>10491.2</v>
      </c>
      <c r="L17" s="147">
        <f>L18+L20</f>
        <v>9874.9000000000015</v>
      </c>
    </row>
    <row r="18" spans="1:26" s="13" customFormat="1" ht="31.5">
      <c r="A18" s="148" t="s">
        <v>48</v>
      </c>
      <c r="B18" s="144">
        <v>871</v>
      </c>
      <c r="C18" s="143" t="s">
        <v>9</v>
      </c>
      <c r="D18" s="144" t="s">
        <v>13</v>
      </c>
      <c r="E18" s="143">
        <v>92</v>
      </c>
      <c r="F18" s="144">
        <v>2</v>
      </c>
      <c r="G18" s="143" t="s">
        <v>282</v>
      </c>
      <c r="H18" s="143" t="s">
        <v>283</v>
      </c>
      <c r="I18" s="144"/>
      <c r="J18" s="147">
        <f>J19</f>
        <v>8477.6</v>
      </c>
      <c r="K18" s="147">
        <f>K19</f>
        <v>8477.6</v>
      </c>
      <c r="L18" s="147">
        <f>L19</f>
        <v>8344.2000000000007</v>
      </c>
      <c r="M18" s="8"/>
      <c r="N18" s="8"/>
      <c r="O18" s="8"/>
      <c r="P18" s="8"/>
      <c r="Q18" s="8"/>
      <c r="R18" s="8"/>
      <c r="S18" s="8"/>
      <c r="T18" s="8"/>
      <c r="U18" s="8"/>
      <c r="V18" s="8"/>
      <c r="W18" s="8"/>
      <c r="X18" s="8"/>
      <c r="Y18" s="8"/>
      <c r="Z18" s="8"/>
    </row>
    <row r="19" spans="1:26" ht="15.75">
      <c r="A19" s="146" t="s">
        <v>106</v>
      </c>
      <c r="B19" s="144">
        <v>871</v>
      </c>
      <c r="C19" s="143" t="s">
        <v>9</v>
      </c>
      <c r="D19" s="144" t="s">
        <v>13</v>
      </c>
      <c r="E19" s="143">
        <v>92</v>
      </c>
      <c r="F19" s="144">
        <v>2</v>
      </c>
      <c r="G19" s="143" t="s">
        <v>282</v>
      </c>
      <c r="H19" s="143" t="s">
        <v>283</v>
      </c>
      <c r="I19" s="144">
        <v>120</v>
      </c>
      <c r="J19" s="147">
        <f>7274.5+900+303.1</f>
        <v>8477.6</v>
      </c>
      <c r="K19" s="147">
        <f>J19</f>
        <v>8477.6</v>
      </c>
      <c r="L19" s="147">
        <v>8344.2000000000007</v>
      </c>
    </row>
    <row r="20" spans="1:26" s="13" customFormat="1" ht="31.5">
      <c r="A20" s="148" t="s">
        <v>49</v>
      </c>
      <c r="B20" s="144">
        <v>871</v>
      </c>
      <c r="C20" s="143" t="s">
        <v>9</v>
      </c>
      <c r="D20" s="144" t="s">
        <v>13</v>
      </c>
      <c r="E20" s="143">
        <v>92</v>
      </c>
      <c r="F20" s="144">
        <v>2</v>
      </c>
      <c r="G20" s="143" t="s">
        <v>282</v>
      </c>
      <c r="H20" s="143" t="s">
        <v>284</v>
      </c>
      <c r="I20" s="144"/>
      <c r="J20" s="147">
        <f>SUM(J21:J23)</f>
        <v>2013.6</v>
      </c>
      <c r="K20" s="147">
        <f>SUM(K21:K23)</f>
        <v>2013.6</v>
      </c>
      <c r="L20" s="147">
        <f>SUM(L21:L23)</f>
        <v>1530.7</v>
      </c>
      <c r="M20" s="8"/>
      <c r="N20" s="8"/>
      <c r="O20" s="8"/>
      <c r="P20" s="8"/>
      <c r="Q20" s="8"/>
      <c r="R20" s="8"/>
      <c r="S20" s="8"/>
      <c r="T20" s="8"/>
      <c r="U20" s="8"/>
      <c r="V20" s="8"/>
      <c r="W20" s="8"/>
      <c r="X20" s="8"/>
      <c r="Y20" s="8"/>
      <c r="Z20" s="8"/>
    </row>
    <row r="21" spans="1:26" s="11" customFormat="1" ht="15.75">
      <c r="A21" s="146" t="s">
        <v>106</v>
      </c>
      <c r="B21" s="144">
        <v>871</v>
      </c>
      <c r="C21" s="143" t="s">
        <v>9</v>
      </c>
      <c r="D21" s="144" t="s">
        <v>13</v>
      </c>
      <c r="E21" s="143">
        <v>92</v>
      </c>
      <c r="F21" s="144">
        <v>2</v>
      </c>
      <c r="G21" s="143" t="s">
        <v>282</v>
      </c>
      <c r="H21" s="143" t="s">
        <v>284</v>
      </c>
      <c r="I21" s="144">
        <v>120</v>
      </c>
      <c r="J21" s="147">
        <f>14.4</f>
        <v>14.4</v>
      </c>
      <c r="K21" s="147">
        <f>J21</f>
        <v>14.4</v>
      </c>
      <c r="L21" s="147">
        <v>14.4</v>
      </c>
    </row>
    <row r="22" spans="1:26" s="11" customFormat="1" ht="15.75">
      <c r="A22" s="148" t="s">
        <v>127</v>
      </c>
      <c r="B22" s="144">
        <v>871</v>
      </c>
      <c r="C22" s="143" t="s">
        <v>9</v>
      </c>
      <c r="D22" s="144" t="s">
        <v>13</v>
      </c>
      <c r="E22" s="143">
        <v>92</v>
      </c>
      <c r="F22" s="144">
        <v>2</v>
      </c>
      <c r="G22" s="143" t="s">
        <v>282</v>
      </c>
      <c r="H22" s="143" t="s">
        <v>284</v>
      </c>
      <c r="I22" s="144">
        <v>240</v>
      </c>
      <c r="J22" s="147">
        <f>205+489+187.1+30+569-2.9+500</f>
        <v>1977.1999999999998</v>
      </c>
      <c r="K22" s="147">
        <f>J22</f>
        <v>1977.1999999999998</v>
      </c>
      <c r="L22" s="147">
        <v>1505.3</v>
      </c>
    </row>
    <row r="23" spans="1:26" s="13" customFormat="1" ht="15.75">
      <c r="A23" s="148" t="s">
        <v>107</v>
      </c>
      <c r="B23" s="144">
        <v>871</v>
      </c>
      <c r="C23" s="143" t="s">
        <v>9</v>
      </c>
      <c r="D23" s="144" t="s">
        <v>13</v>
      </c>
      <c r="E23" s="143">
        <v>92</v>
      </c>
      <c r="F23" s="144">
        <v>2</v>
      </c>
      <c r="G23" s="143" t="s">
        <v>282</v>
      </c>
      <c r="H23" s="143" t="s">
        <v>284</v>
      </c>
      <c r="I23" s="144">
        <v>850</v>
      </c>
      <c r="J23" s="147">
        <f>78-56</f>
        <v>22</v>
      </c>
      <c r="K23" s="147">
        <f>J23</f>
        <v>22</v>
      </c>
      <c r="L23" s="147">
        <v>11</v>
      </c>
      <c r="M23" s="8"/>
      <c r="N23" s="8"/>
      <c r="O23" s="8"/>
      <c r="P23" s="8"/>
      <c r="Q23" s="8"/>
      <c r="R23" s="8"/>
      <c r="S23" s="8"/>
      <c r="T23" s="8"/>
      <c r="U23" s="8"/>
      <c r="V23" s="8"/>
      <c r="W23" s="8"/>
      <c r="X23" s="8"/>
      <c r="Y23" s="8"/>
      <c r="Z23" s="8"/>
    </row>
    <row r="24" spans="1:26" ht="15.75">
      <c r="A24" s="148" t="s">
        <v>85</v>
      </c>
      <c r="B24" s="144">
        <v>871</v>
      </c>
      <c r="C24" s="143" t="s">
        <v>9</v>
      </c>
      <c r="D24" s="144" t="s">
        <v>13</v>
      </c>
      <c r="E24" s="143">
        <v>97</v>
      </c>
      <c r="F24" s="144">
        <v>0</v>
      </c>
      <c r="G24" s="143" t="s">
        <v>282</v>
      </c>
      <c r="H24" s="143" t="s">
        <v>362</v>
      </c>
      <c r="I24" s="144"/>
      <c r="J24" s="147">
        <f>J25</f>
        <v>697.5</v>
      </c>
      <c r="K24" s="147">
        <f>K25</f>
        <v>697.5</v>
      </c>
      <c r="L24" s="147">
        <f>L25</f>
        <v>694.5</v>
      </c>
    </row>
    <row r="25" spans="1:26" ht="31.5">
      <c r="A25" s="148" t="s">
        <v>50</v>
      </c>
      <c r="B25" s="144">
        <v>871</v>
      </c>
      <c r="C25" s="143" t="s">
        <v>9</v>
      </c>
      <c r="D25" s="144" t="s">
        <v>13</v>
      </c>
      <c r="E25" s="143">
        <v>97</v>
      </c>
      <c r="F25" s="144">
        <v>2</v>
      </c>
      <c r="G25" s="143" t="s">
        <v>282</v>
      </c>
      <c r="H25" s="143" t="s">
        <v>362</v>
      </c>
      <c r="I25" s="144"/>
      <c r="J25" s="147">
        <f>J29+J31+J33+J35</f>
        <v>697.5</v>
      </c>
      <c r="K25" s="147">
        <f>K29+K31+K33+K35</f>
        <v>697.5</v>
      </c>
      <c r="L25" s="147">
        <f>L29+L31+L33+L35</f>
        <v>694.5</v>
      </c>
    </row>
    <row r="26" spans="1:26" s="13" customFormat="1" ht="94.5">
      <c r="A26" s="148" t="s">
        <v>529</v>
      </c>
      <c r="B26" s="144"/>
      <c r="C26" s="143"/>
      <c r="D26" s="144"/>
      <c r="E26" s="143"/>
      <c r="F26" s="144"/>
      <c r="G26" s="143"/>
      <c r="H26" s="143"/>
      <c r="I26" s="144"/>
      <c r="J26" s="147"/>
      <c r="K26" s="147"/>
      <c r="L26" s="147"/>
      <c r="M26" s="8"/>
      <c r="N26" s="8"/>
      <c r="O26" s="8"/>
      <c r="P26" s="8"/>
      <c r="Q26" s="8"/>
      <c r="R26" s="8"/>
      <c r="S26" s="8"/>
      <c r="T26" s="8"/>
      <c r="U26" s="8"/>
      <c r="V26" s="8"/>
      <c r="W26" s="8"/>
      <c r="X26" s="8"/>
      <c r="Y26" s="8"/>
      <c r="Z26" s="8"/>
    </row>
    <row r="27" spans="1:26" s="13" customFormat="1" ht="110.25">
      <c r="A27" s="148" t="s">
        <v>553</v>
      </c>
      <c r="B27" s="144"/>
      <c r="C27" s="143"/>
      <c r="D27" s="144"/>
      <c r="E27" s="143"/>
      <c r="F27" s="144"/>
      <c r="G27" s="143"/>
      <c r="H27" s="143"/>
      <c r="I27" s="144"/>
      <c r="J27" s="147"/>
      <c r="K27" s="147"/>
      <c r="L27" s="147"/>
      <c r="M27" s="8"/>
      <c r="N27" s="8"/>
      <c r="O27" s="8"/>
      <c r="P27" s="8"/>
      <c r="Q27" s="8"/>
      <c r="R27" s="8"/>
      <c r="S27" s="8"/>
      <c r="T27" s="8"/>
      <c r="U27" s="8"/>
      <c r="V27" s="8"/>
      <c r="W27" s="8"/>
      <c r="X27" s="8"/>
      <c r="Y27" s="8"/>
      <c r="Z27" s="8"/>
    </row>
    <row r="28" spans="1:26" s="13" customFormat="1" ht="47.25">
      <c r="A28" s="148" t="s">
        <v>554</v>
      </c>
      <c r="B28" s="144"/>
      <c r="C28" s="143"/>
      <c r="D28" s="144"/>
      <c r="E28" s="143"/>
      <c r="F28" s="144"/>
      <c r="G28" s="143"/>
      <c r="H28" s="143"/>
      <c r="I28" s="144"/>
      <c r="J28" s="147"/>
      <c r="K28" s="147"/>
      <c r="L28" s="147"/>
      <c r="M28" s="8"/>
      <c r="N28" s="8"/>
      <c r="O28" s="8"/>
      <c r="P28" s="8"/>
      <c r="Q28" s="8"/>
      <c r="R28" s="8"/>
      <c r="S28" s="8"/>
      <c r="T28" s="8"/>
      <c r="U28" s="8"/>
      <c r="V28" s="8"/>
      <c r="W28" s="8"/>
      <c r="X28" s="8"/>
      <c r="Y28" s="8"/>
      <c r="Z28" s="8"/>
    </row>
    <row r="29" spans="1:26" ht="31.5">
      <c r="A29" s="148" t="s">
        <v>530</v>
      </c>
      <c r="B29" s="143" t="s">
        <v>21</v>
      </c>
      <c r="C29" s="143" t="s">
        <v>9</v>
      </c>
      <c r="D29" s="143" t="s">
        <v>13</v>
      </c>
      <c r="E29" s="143" t="s">
        <v>57</v>
      </c>
      <c r="F29" s="144">
        <v>2</v>
      </c>
      <c r="G29" s="143" t="s">
        <v>282</v>
      </c>
      <c r="H29" s="143" t="s">
        <v>464</v>
      </c>
      <c r="I29" s="144"/>
      <c r="J29" s="147">
        <f>J30</f>
        <v>325.39999999999998</v>
      </c>
      <c r="K29" s="147">
        <f>K30</f>
        <v>325.39999999999998</v>
      </c>
      <c r="L29" s="147">
        <f>L30</f>
        <v>322.39999999999998</v>
      </c>
    </row>
    <row r="30" spans="1:26" ht="15.75">
      <c r="A30" s="151" t="s">
        <v>35</v>
      </c>
      <c r="B30" s="143" t="s">
        <v>21</v>
      </c>
      <c r="C30" s="143" t="s">
        <v>9</v>
      </c>
      <c r="D30" s="143" t="s">
        <v>13</v>
      </c>
      <c r="E30" s="143" t="s">
        <v>57</v>
      </c>
      <c r="F30" s="144">
        <v>2</v>
      </c>
      <c r="G30" s="143" t="s">
        <v>282</v>
      </c>
      <c r="H30" s="143" t="s">
        <v>464</v>
      </c>
      <c r="I30" s="144">
        <v>540</v>
      </c>
      <c r="J30" s="147">
        <f>325.4</f>
        <v>325.39999999999998</v>
      </c>
      <c r="K30" s="147">
        <f>J30</f>
        <v>325.39999999999998</v>
      </c>
      <c r="L30" s="147">
        <v>322.39999999999998</v>
      </c>
    </row>
    <row r="31" spans="1:26" ht="31.5">
      <c r="A31" s="148" t="s">
        <v>465</v>
      </c>
      <c r="B31" s="144">
        <v>871</v>
      </c>
      <c r="C31" s="143" t="s">
        <v>9</v>
      </c>
      <c r="D31" s="144" t="s">
        <v>13</v>
      </c>
      <c r="E31" s="143">
        <v>97</v>
      </c>
      <c r="F31" s="144">
        <v>2</v>
      </c>
      <c r="G31" s="143" t="s">
        <v>282</v>
      </c>
      <c r="H31" s="143" t="s">
        <v>285</v>
      </c>
      <c r="I31" s="144"/>
      <c r="J31" s="147">
        <f>J32</f>
        <v>124</v>
      </c>
      <c r="K31" s="147">
        <f>K32</f>
        <v>124</v>
      </c>
      <c r="L31" s="147">
        <f>L32</f>
        <v>124</v>
      </c>
    </row>
    <row r="32" spans="1:26" ht="15.75">
      <c r="A32" s="151" t="s">
        <v>35</v>
      </c>
      <c r="B32" s="144">
        <v>871</v>
      </c>
      <c r="C32" s="143" t="s">
        <v>9</v>
      </c>
      <c r="D32" s="144" t="s">
        <v>13</v>
      </c>
      <c r="E32" s="143">
        <v>97</v>
      </c>
      <c r="F32" s="144">
        <v>2</v>
      </c>
      <c r="G32" s="143" t="s">
        <v>282</v>
      </c>
      <c r="H32" s="143" t="s">
        <v>285</v>
      </c>
      <c r="I32" s="144">
        <v>540</v>
      </c>
      <c r="J32" s="147">
        <f>124</f>
        <v>124</v>
      </c>
      <c r="K32" s="147">
        <f>J32</f>
        <v>124</v>
      </c>
      <c r="L32" s="147">
        <v>124</v>
      </c>
    </row>
    <row r="33" spans="1:26" ht="31.5">
      <c r="A33" s="148" t="s">
        <v>466</v>
      </c>
      <c r="B33" s="144">
        <v>871</v>
      </c>
      <c r="C33" s="143" t="s">
        <v>9</v>
      </c>
      <c r="D33" s="144" t="s">
        <v>13</v>
      </c>
      <c r="E33" s="143">
        <v>97</v>
      </c>
      <c r="F33" s="144">
        <v>2</v>
      </c>
      <c r="G33" s="143" t="s">
        <v>282</v>
      </c>
      <c r="H33" s="143" t="s">
        <v>286</v>
      </c>
      <c r="I33" s="144"/>
      <c r="J33" s="147">
        <f>J34</f>
        <v>93.7</v>
      </c>
      <c r="K33" s="147">
        <f>K34</f>
        <v>93.7</v>
      </c>
      <c r="L33" s="147">
        <f>L34</f>
        <v>93.7</v>
      </c>
    </row>
    <row r="34" spans="1:26" ht="15.75">
      <c r="A34" s="151" t="s">
        <v>35</v>
      </c>
      <c r="B34" s="144">
        <v>871</v>
      </c>
      <c r="C34" s="143" t="s">
        <v>9</v>
      </c>
      <c r="D34" s="144" t="s">
        <v>13</v>
      </c>
      <c r="E34" s="143">
        <v>97</v>
      </c>
      <c r="F34" s="144">
        <v>2</v>
      </c>
      <c r="G34" s="143" t="s">
        <v>282</v>
      </c>
      <c r="H34" s="143" t="s">
        <v>286</v>
      </c>
      <c r="I34" s="144">
        <v>540</v>
      </c>
      <c r="J34" s="147">
        <f>93.7</f>
        <v>93.7</v>
      </c>
      <c r="K34" s="147">
        <f>J34</f>
        <v>93.7</v>
      </c>
      <c r="L34" s="147">
        <v>93.7</v>
      </c>
    </row>
    <row r="35" spans="1:26" ht="31.5">
      <c r="A35" s="148" t="s">
        <v>287</v>
      </c>
      <c r="B35" s="144">
        <v>871</v>
      </c>
      <c r="C35" s="143" t="s">
        <v>9</v>
      </c>
      <c r="D35" s="144" t="s">
        <v>13</v>
      </c>
      <c r="E35" s="143">
        <v>97</v>
      </c>
      <c r="F35" s="144">
        <v>2</v>
      </c>
      <c r="G35" s="143" t="s">
        <v>282</v>
      </c>
      <c r="H35" s="143" t="s">
        <v>288</v>
      </c>
      <c r="I35" s="144"/>
      <c r="J35" s="147">
        <f>J36</f>
        <v>154.4</v>
      </c>
      <c r="K35" s="147">
        <f>K36</f>
        <v>154.4</v>
      </c>
      <c r="L35" s="147">
        <f>L36</f>
        <v>154.4</v>
      </c>
    </row>
    <row r="36" spans="1:26" s="13" customFormat="1" ht="15.75">
      <c r="A36" s="151" t="s">
        <v>35</v>
      </c>
      <c r="B36" s="144">
        <v>871</v>
      </c>
      <c r="C36" s="143" t="s">
        <v>9</v>
      </c>
      <c r="D36" s="144" t="s">
        <v>13</v>
      </c>
      <c r="E36" s="143">
        <v>97</v>
      </c>
      <c r="F36" s="144">
        <v>2</v>
      </c>
      <c r="G36" s="143" t="s">
        <v>282</v>
      </c>
      <c r="H36" s="143" t="s">
        <v>288</v>
      </c>
      <c r="I36" s="144">
        <v>540</v>
      </c>
      <c r="J36" s="147">
        <f>154.4</f>
        <v>154.4</v>
      </c>
      <c r="K36" s="147">
        <f>J36</f>
        <v>154.4</v>
      </c>
      <c r="L36" s="147">
        <v>154.4</v>
      </c>
      <c r="M36" s="8"/>
      <c r="N36" s="8"/>
      <c r="O36" s="8"/>
      <c r="P36" s="8"/>
      <c r="Q36" s="8"/>
      <c r="R36" s="8"/>
      <c r="S36" s="8"/>
      <c r="T36" s="8"/>
      <c r="U36" s="8"/>
      <c r="V36" s="8"/>
      <c r="W36" s="8"/>
      <c r="X36" s="8"/>
      <c r="Y36" s="8"/>
      <c r="Z36" s="8"/>
    </row>
    <row r="37" spans="1:26" ht="31.5">
      <c r="A37" s="148" t="s">
        <v>289</v>
      </c>
      <c r="B37" s="143">
        <v>871</v>
      </c>
      <c r="C37" s="143" t="s">
        <v>9</v>
      </c>
      <c r="D37" s="143" t="s">
        <v>61</v>
      </c>
      <c r="E37" s="143"/>
      <c r="F37" s="143"/>
      <c r="G37" s="143"/>
      <c r="H37" s="143"/>
      <c r="I37" s="143"/>
      <c r="J37" s="147">
        <f>J38</f>
        <v>190.7</v>
      </c>
      <c r="K37" s="147">
        <f t="shared" ref="K37:L40" si="1">K38</f>
        <v>190.7</v>
      </c>
      <c r="L37" s="147">
        <f t="shared" si="1"/>
        <v>190.7</v>
      </c>
    </row>
    <row r="38" spans="1:26" s="13" customFormat="1" ht="15.75">
      <c r="A38" s="148" t="s">
        <v>35</v>
      </c>
      <c r="B38" s="143" t="s">
        <v>21</v>
      </c>
      <c r="C38" s="143" t="s">
        <v>9</v>
      </c>
      <c r="D38" s="143" t="s">
        <v>61</v>
      </c>
      <c r="E38" s="143" t="s">
        <v>57</v>
      </c>
      <c r="F38" s="143" t="s">
        <v>118</v>
      </c>
      <c r="G38" s="143" t="s">
        <v>282</v>
      </c>
      <c r="H38" s="143" t="s">
        <v>362</v>
      </c>
      <c r="I38" s="143"/>
      <c r="J38" s="147">
        <f>J39</f>
        <v>190.7</v>
      </c>
      <c r="K38" s="147">
        <f t="shared" si="1"/>
        <v>190.7</v>
      </c>
      <c r="L38" s="147">
        <f t="shared" si="1"/>
        <v>190.7</v>
      </c>
      <c r="M38" s="8"/>
      <c r="N38" s="8"/>
      <c r="O38" s="8"/>
      <c r="P38" s="8"/>
      <c r="Q38" s="8"/>
      <c r="R38" s="8"/>
      <c r="S38" s="8"/>
      <c r="T38" s="8"/>
      <c r="U38" s="8"/>
      <c r="V38" s="8"/>
      <c r="W38" s="8"/>
      <c r="X38" s="8"/>
      <c r="Y38" s="8"/>
      <c r="Z38" s="8"/>
    </row>
    <row r="39" spans="1:26" ht="31.5">
      <c r="A39" s="148" t="s">
        <v>50</v>
      </c>
      <c r="B39" s="143" t="s">
        <v>21</v>
      </c>
      <c r="C39" s="143" t="s">
        <v>9</v>
      </c>
      <c r="D39" s="143" t="s">
        <v>61</v>
      </c>
      <c r="E39" s="143" t="s">
        <v>57</v>
      </c>
      <c r="F39" s="143" t="s">
        <v>290</v>
      </c>
      <c r="G39" s="143" t="s">
        <v>282</v>
      </c>
      <c r="H39" s="143" t="s">
        <v>362</v>
      </c>
      <c r="I39" s="143"/>
      <c r="J39" s="147">
        <f>J40</f>
        <v>190.7</v>
      </c>
      <c r="K39" s="147">
        <f t="shared" si="1"/>
        <v>190.7</v>
      </c>
      <c r="L39" s="147">
        <f t="shared" si="1"/>
        <v>190.7</v>
      </c>
    </row>
    <row r="40" spans="1:26" s="13" customFormat="1" ht="15.75">
      <c r="A40" s="148" t="s">
        <v>291</v>
      </c>
      <c r="B40" s="144">
        <v>871</v>
      </c>
      <c r="C40" s="143" t="s">
        <v>9</v>
      </c>
      <c r="D40" s="143" t="s">
        <v>61</v>
      </c>
      <c r="E40" s="143">
        <v>97</v>
      </c>
      <c r="F40" s="144">
        <v>2</v>
      </c>
      <c r="G40" s="143" t="s">
        <v>282</v>
      </c>
      <c r="H40" s="143" t="s">
        <v>292</v>
      </c>
      <c r="I40" s="144"/>
      <c r="J40" s="147">
        <f>J41</f>
        <v>190.7</v>
      </c>
      <c r="K40" s="147">
        <f t="shared" si="1"/>
        <v>190.7</v>
      </c>
      <c r="L40" s="147">
        <f t="shared" si="1"/>
        <v>190.7</v>
      </c>
      <c r="M40" s="8"/>
      <c r="N40" s="8"/>
      <c r="O40" s="8"/>
      <c r="P40" s="8"/>
      <c r="Q40" s="8"/>
      <c r="R40" s="8"/>
      <c r="S40" s="8"/>
      <c r="T40" s="8"/>
      <c r="U40" s="8"/>
      <c r="V40" s="8"/>
      <c r="W40" s="8"/>
      <c r="X40" s="8"/>
      <c r="Y40" s="8"/>
      <c r="Z40" s="8"/>
    </row>
    <row r="41" spans="1:26" ht="15.75">
      <c r="A41" s="151" t="s">
        <v>35</v>
      </c>
      <c r="B41" s="144">
        <v>871</v>
      </c>
      <c r="C41" s="143" t="s">
        <v>9</v>
      </c>
      <c r="D41" s="143" t="s">
        <v>61</v>
      </c>
      <c r="E41" s="143">
        <v>97</v>
      </c>
      <c r="F41" s="144">
        <v>2</v>
      </c>
      <c r="G41" s="143" t="s">
        <v>282</v>
      </c>
      <c r="H41" s="143" t="s">
        <v>292</v>
      </c>
      <c r="I41" s="144">
        <v>540</v>
      </c>
      <c r="J41" s="147">
        <f>190.7</f>
        <v>190.7</v>
      </c>
      <c r="K41" s="147">
        <f>J41</f>
        <v>190.7</v>
      </c>
      <c r="L41" s="147">
        <v>190.7</v>
      </c>
    </row>
    <row r="42" spans="1:26" ht="15.75">
      <c r="A42" s="146" t="s">
        <v>0</v>
      </c>
      <c r="B42" s="144">
        <v>871</v>
      </c>
      <c r="C42" s="143" t="s">
        <v>9</v>
      </c>
      <c r="D42" s="144">
        <v>11</v>
      </c>
      <c r="E42" s="143"/>
      <c r="F42" s="144"/>
      <c r="G42" s="143"/>
      <c r="H42" s="143"/>
      <c r="I42" s="144" t="s">
        <v>6</v>
      </c>
      <c r="J42" s="145">
        <f>J43</f>
        <v>60</v>
      </c>
      <c r="K42" s="145">
        <f t="shared" ref="K42:L45" si="2">K43</f>
        <v>9.9</v>
      </c>
      <c r="L42" s="145">
        <f t="shared" si="2"/>
        <v>0</v>
      </c>
    </row>
    <row r="43" spans="1:26" ht="15.75">
      <c r="A43" s="146" t="s">
        <v>0</v>
      </c>
      <c r="B43" s="144">
        <v>871</v>
      </c>
      <c r="C43" s="143" t="s">
        <v>9</v>
      </c>
      <c r="D43" s="144">
        <v>11</v>
      </c>
      <c r="E43" s="143">
        <v>94</v>
      </c>
      <c r="F43" s="144">
        <v>0</v>
      </c>
      <c r="G43" s="143" t="s">
        <v>282</v>
      </c>
      <c r="H43" s="143" t="s">
        <v>362</v>
      </c>
      <c r="I43" s="144"/>
      <c r="J43" s="145">
        <f>J44</f>
        <v>60</v>
      </c>
      <c r="K43" s="145">
        <f t="shared" si="2"/>
        <v>9.9</v>
      </c>
      <c r="L43" s="145">
        <f t="shared" si="2"/>
        <v>0</v>
      </c>
    </row>
    <row r="44" spans="1:26" s="13" customFormat="1" ht="15.75">
      <c r="A44" s="146" t="s">
        <v>1</v>
      </c>
      <c r="B44" s="144">
        <v>871</v>
      </c>
      <c r="C44" s="143" t="s">
        <v>9</v>
      </c>
      <c r="D44" s="144">
        <v>11</v>
      </c>
      <c r="E44" s="143">
        <v>94</v>
      </c>
      <c r="F44" s="144">
        <v>1</v>
      </c>
      <c r="G44" s="143" t="s">
        <v>282</v>
      </c>
      <c r="H44" s="143" t="s">
        <v>362</v>
      </c>
      <c r="I44" s="144" t="s">
        <v>6</v>
      </c>
      <c r="J44" s="145">
        <f>J45</f>
        <v>60</v>
      </c>
      <c r="K44" s="145">
        <f t="shared" si="2"/>
        <v>9.9</v>
      </c>
      <c r="L44" s="145">
        <f t="shared" si="2"/>
        <v>0</v>
      </c>
      <c r="M44" s="8"/>
      <c r="N44" s="8"/>
      <c r="O44" s="8"/>
      <c r="P44" s="8"/>
      <c r="Q44" s="8"/>
      <c r="R44" s="8"/>
      <c r="S44" s="8"/>
      <c r="T44" s="8"/>
      <c r="U44" s="8"/>
      <c r="V44" s="8"/>
      <c r="W44" s="8"/>
      <c r="X44" s="8"/>
      <c r="Y44" s="8"/>
      <c r="Z44" s="8"/>
    </row>
    <row r="45" spans="1:26" ht="15.75">
      <c r="A45" s="146" t="s">
        <v>1</v>
      </c>
      <c r="B45" s="144">
        <v>871</v>
      </c>
      <c r="C45" s="143" t="s">
        <v>9</v>
      </c>
      <c r="D45" s="144">
        <v>11</v>
      </c>
      <c r="E45" s="143">
        <v>94</v>
      </c>
      <c r="F45" s="144">
        <v>1</v>
      </c>
      <c r="G45" s="143" t="s">
        <v>282</v>
      </c>
      <c r="H45" s="143" t="s">
        <v>293</v>
      </c>
      <c r="I45" s="144"/>
      <c r="J45" s="145">
        <f>J46</f>
        <v>60</v>
      </c>
      <c r="K45" s="145">
        <f t="shared" si="2"/>
        <v>9.9</v>
      </c>
      <c r="L45" s="145">
        <f t="shared" si="2"/>
        <v>0</v>
      </c>
    </row>
    <row r="46" spans="1:26" s="13" customFormat="1" ht="15.75">
      <c r="A46" s="146" t="s">
        <v>109</v>
      </c>
      <c r="B46" s="144">
        <v>871</v>
      </c>
      <c r="C46" s="143" t="s">
        <v>9</v>
      </c>
      <c r="D46" s="144">
        <v>11</v>
      </c>
      <c r="E46" s="143">
        <v>94</v>
      </c>
      <c r="F46" s="144">
        <v>1</v>
      </c>
      <c r="G46" s="143" t="s">
        <v>282</v>
      </c>
      <c r="H46" s="143" t="s">
        <v>293</v>
      </c>
      <c r="I46" s="143" t="s">
        <v>108</v>
      </c>
      <c r="J46" s="145">
        <f>100-40</f>
        <v>60</v>
      </c>
      <c r="K46" s="145">
        <v>9.9</v>
      </c>
      <c r="L46" s="145">
        <v>0</v>
      </c>
      <c r="M46" s="8"/>
      <c r="N46" s="8"/>
      <c r="O46" s="8"/>
      <c r="P46" s="8"/>
      <c r="Q46" s="8"/>
      <c r="R46" s="8"/>
      <c r="S46" s="8"/>
      <c r="T46" s="8"/>
      <c r="U46" s="8"/>
      <c r="V46" s="8"/>
      <c r="W46" s="8"/>
      <c r="X46" s="8"/>
      <c r="Y46" s="8"/>
      <c r="Z46" s="8"/>
    </row>
    <row r="47" spans="1:26" ht="15.75">
      <c r="A47" s="146" t="s">
        <v>19</v>
      </c>
      <c r="B47" s="144">
        <v>871</v>
      </c>
      <c r="C47" s="143" t="s">
        <v>9</v>
      </c>
      <c r="D47" s="144">
        <v>13</v>
      </c>
      <c r="E47" s="143"/>
      <c r="F47" s="144"/>
      <c r="G47" s="143"/>
      <c r="H47" s="143"/>
      <c r="I47" s="144"/>
      <c r="J47" s="147">
        <f>J48+J59+J76+J83+J87+J91+J95</f>
        <v>12857.599999999999</v>
      </c>
      <c r="K47" s="147">
        <f>K48+K59+K76+K83+K87+K91+K95</f>
        <v>12857.599999999999</v>
      </c>
      <c r="L47" s="147">
        <f>L48+L59+L76+L83+L87+L91+L95</f>
        <v>6811.5</v>
      </c>
    </row>
    <row r="48" spans="1:26" s="13" customFormat="1" ht="31.5">
      <c r="A48" s="146" t="s">
        <v>53</v>
      </c>
      <c r="B48" s="144">
        <v>871</v>
      </c>
      <c r="C48" s="143" t="s">
        <v>9</v>
      </c>
      <c r="D48" s="144">
        <v>13</v>
      </c>
      <c r="E48" s="143" t="s">
        <v>9</v>
      </c>
      <c r="F48" s="144">
        <v>0</v>
      </c>
      <c r="G48" s="143" t="s">
        <v>282</v>
      </c>
      <c r="H48" s="143" t="s">
        <v>362</v>
      </c>
      <c r="I48" s="144"/>
      <c r="J48" s="147">
        <f>J49+J56</f>
        <v>9208.7999999999993</v>
      </c>
      <c r="K48" s="147">
        <f>K49+K56</f>
        <v>9108.7999999999993</v>
      </c>
      <c r="L48" s="147">
        <f>L49+L56</f>
        <v>3385</v>
      </c>
      <c r="M48" s="8"/>
      <c r="N48" s="8"/>
      <c r="O48" s="8"/>
      <c r="P48" s="8"/>
      <c r="Q48" s="8"/>
      <c r="R48" s="8"/>
      <c r="S48" s="8"/>
      <c r="T48" s="8"/>
      <c r="U48" s="8"/>
      <c r="V48" s="8"/>
      <c r="W48" s="8"/>
      <c r="X48" s="8"/>
      <c r="Y48" s="8"/>
      <c r="Z48" s="8"/>
    </row>
    <row r="49" spans="1:26" ht="15.75">
      <c r="A49" s="146" t="s">
        <v>88</v>
      </c>
      <c r="B49" s="144">
        <v>871</v>
      </c>
      <c r="C49" s="143" t="s">
        <v>9</v>
      </c>
      <c r="D49" s="144">
        <v>13</v>
      </c>
      <c r="E49" s="143" t="s">
        <v>9</v>
      </c>
      <c r="F49" s="144">
        <v>1</v>
      </c>
      <c r="G49" s="143" t="s">
        <v>282</v>
      </c>
      <c r="H49" s="143" t="s">
        <v>362</v>
      </c>
      <c r="I49" s="144"/>
      <c r="J49" s="147">
        <f>J50+J52+J54</f>
        <v>8818.0999999999985</v>
      </c>
      <c r="K49" s="147">
        <f>K50+K52+K54</f>
        <v>8653</v>
      </c>
      <c r="L49" s="147">
        <f>L50+L52+L54</f>
        <v>2936.1</v>
      </c>
    </row>
    <row r="50" spans="1:26" s="7" customFormat="1" ht="15.75">
      <c r="A50" s="148" t="s">
        <v>52</v>
      </c>
      <c r="B50" s="144">
        <v>871</v>
      </c>
      <c r="C50" s="143" t="s">
        <v>9</v>
      </c>
      <c r="D50" s="144">
        <v>13</v>
      </c>
      <c r="E50" s="143" t="s">
        <v>9</v>
      </c>
      <c r="F50" s="144">
        <v>1</v>
      </c>
      <c r="G50" s="143" t="s">
        <v>282</v>
      </c>
      <c r="H50" s="143" t="s">
        <v>294</v>
      </c>
      <c r="I50" s="144"/>
      <c r="J50" s="147">
        <f>J51</f>
        <v>5952.9</v>
      </c>
      <c r="K50" s="147">
        <f>K51</f>
        <v>5900.4</v>
      </c>
      <c r="L50" s="147">
        <f>L51</f>
        <v>2720</v>
      </c>
    </row>
    <row r="51" spans="1:26" ht="15.75">
      <c r="A51" s="148" t="s">
        <v>127</v>
      </c>
      <c r="B51" s="144">
        <v>871</v>
      </c>
      <c r="C51" s="143" t="s">
        <v>9</v>
      </c>
      <c r="D51" s="144">
        <v>13</v>
      </c>
      <c r="E51" s="143" t="s">
        <v>9</v>
      </c>
      <c r="F51" s="144">
        <v>1</v>
      </c>
      <c r="G51" s="143" t="s">
        <v>282</v>
      </c>
      <c r="H51" s="143" t="s">
        <v>294</v>
      </c>
      <c r="I51" s="144">
        <v>240</v>
      </c>
      <c r="J51" s="147">
        <f>1247+350+818+3837.9-300</f>
        <v>5952.9</v>
      </c>
      <c r="K51" s="147">
        <v>5900.4</v>
      </c>
      <c r="L51" s="147">
        <v>2720</v>
      </c>
    </row>
    <row r="52" spans="1:26" s="13" customFormat="1" ht="15.75">
      <c r="A52" s="148" t="s">
        <v>295</v>
      </c>
      <c r="B52" s="144">
        <v>871</v>
      </c>
      <c r="C52" s="143" t="s">
        <v>9</v>
      </c>
      <c r="D52" s="144">
        <v>13</v>
      </c>
      <c r="E52" s="143" t="s">
        <v>9</v>
      </c>
      <c r="F52" s="144">
        <v>1</v>
      </c>
      <c r="G52" s="143" t="s">
        <v>282</v>
      </c>
      <c r="H52" s="143" t="s">
        <v>296</v>
      </c>
      <c r="I52" s="144"/>
      <c r="J52" s="147">
        <f>J53</f>
        <v>2740.4</v>
      </c>
      <c r="K52" s="147">
        <f>K53</f>
        <v>2740.4</v>
      </c>
      <c r="L52" s="147">
        <f>L53</f>
        <v>204</v>
      </c>
      <c r="M52" s="8"/>
      <c r="N52" s="8"/>
      <c r="O52" s="8"/>
      <c r="P52" s="8"/>
      <c r="Q52" s="8"/>
      <c r="R52" s="8"/>
      <c r="S52" s="8"/>
      <c r="T52" s="8"/>
      <c r="U52" s="8"/>
      <c r="V52" s="8"/>
      <c r="W52" s="8"/>
      <c r="X52" s="8"/>
      <c r="Y52" s="8"/>
      <c r="Z52" s="8"/>
    </row>
    <row r="53" spans="1:26" s="13" customFormat="1" ht="15.75">
      <c r="A53" s="148" t="s">
        <v>127</v>
      </c>
      <c r="B53" s="144">
        <v>871</v>
      </c>
      <c r="C53" s="143" t="s">
        <v>9</v>
      </c>
      <c r="D53" s="144">
        <v>13</v>
      </c>
      <c r="E53" s="143" t="s">
        <v>9</v>
      </c>
      <c r="F53" s="144">
        <v>1</v>
      </c>
      <c r="G53" s="143" t="s">
        <v>282</v>
      </c>
      <c r="H53" s="143" t="s">
        <v>296</v>
      </c>
      <c r="I53" s="144">
        <v>240</v>
      </c>
      <c r="J53" s="147">
        <f>5011.8-2200-71.4</f>
        <v>2740.4</v>
      </c>
      <c r="K53" s="147">
        <f>J53</f>
        <v>2740.4</v>
      </c>
      <c r="L53" s="147">
        <v>204</v>
      </c>
      <c r="M53" s="8"/>
      <c r="N53" s="8"/>
      <c r="O53" s="8"/>
      <c r="P53" s="8"/>
      <c r="Q53" s="8"/>
      <c r="R53" s="8"/>
      <c r="S53" s="8"/>
      <c r="T53" s="8"/>
      <c r="U53" s="8"/>
      <c r="V53" s="8"/>
      <c r="W53" s="8"/>
      <c r="X53" s="8"/>
      <c r="Y53" s="8"/>
      <c r="Z53" s="8"/>
    </row>
    <row r="54" spans="1:26" s="7" customFormat="1" ht="15.75">
      <c r="A54" s="148" t="s">
        <v>363</v>
      </c>
      <c r="B54" s="144">
        <v>871</v>
      </c>
      <c r="C54" s="143" t="s">
        <v>9</v>
      </c>
      <c r="D54" s="144">
        <v>13</v>
      </c>
      <c r="E54" s="143" t="s">
        <v>9</v>
      </c>
      <c r="F54" s="144">
        <v>1</v>
      </c>
      <c r="G54" s="143" t="s">
        <v>282</v>
      </c>
      <c r="H54" s="143" t="s">
        <v>364</v>
      </c>
      <c r="I54" s="144"/>
      <c r="J54" s="147">
        <f>J55</f>
        <v>124.80000000000001</v>
      </c>
      <c r="K54" s="147">
        <f>K55</f>
        <v>12.2</v>
      </c>
      <c r="L54" s="147">
        <f>L55</f>
        <v>12.1</v>
      </c>
    </row>
    <row r="55" spans="1:26" ht="15.75">
      <c r="A55" s="148" t="s">
        <v>127</v>
      </c>
      <c r="B55" s="144">
        <v>871</v>
      </c>
      <c r="C55" s="143" t="s">
        <v>9</v>
      </c>
      <c r="D55" s="144">
        <v>13</v>
      </c>
      <c r="E55" s="143" t="s">
        <v>9</v>
      </c>
      <c r="F55" s="144">
        <v>1</v>
      </c>
      <c r="G55" s="143" t="s">
        <v>282</v>
      </c>
      <c r="H55" s="143" t="s">
        <v>364</v>
      </c>
      <c r="I55" s="144">
        <v>240</v>
      </c>
      <c r="J55" s="147">
        <f>324.8-200</f>
        <v>124.80000000000001</v>
      </c>
      <c r="K55" s="147">
        <v>12.2</v>
      </c>
      <c r="L55" s="147">
        <v>12.1</v>
      </c>
    </row>
    <row r="56" spans="1:26" s="13" customFormat="1" ht="15.75">
      <c r="A56" s="148" t="s">
        <v>100</v>
      </c>
      <c r="B56" s="144">
        <v>871</v>
      </c>
      <c r="C56" s="143" t="s">
        <v>9</v>
      </c>
      <c r="D56" s="144">
        <v>13</v>
      </c>
      <c r="E56" s="143" t="s">
        <v>9</v>
      </c>
      <c r="F56" s="144">
        <v>2</v>
      </c>
      <c r="G56" s="143" t="s">
        <v>282</v>
      </c>
      <c r="H56" s="143" t="s">
        <v>362</v>
      </c>
      <c r="I56" s="144"/>
      <c r="J56" s="147">
        <f t="shared" ref="J56:L57" si="3">J57</f>
        <v>390.70000000000005</v>
      </c>
      <c r="K56" s="147">
        <f t="shared" si="3"/>
        <v>455.8</v>
      </c>
      <c r="L56" s="147">
        <f t="shared" si="3"/>
        <v>448.9</v>
      </c>
      <c r="M56" s="8"/>
      <c r="N56" s="8"/>
      <c r="O56" s="8"/>
      <c r="P56" s="8"/>
      <c r="Q56" s="8"/>
      <c r="R56" s="8"/>
      <c r="S56" s="8"/>
      <c r="T56" s="8"/>
      <c r="U56" s="8"/>
      <c r="V56" s="8"/>
      <c r="W56" s="8"/>
      <c r="X56" s="8"/>
      <c r="Y56" s="8"/>
      <c r="Z56" s="8"/>
    </row>
    <row r="57" spans="1:26" s="13" customFormat="1" ht="15.75">
      <c r="A57" s="148" t="s">
        <v>101</v>
      </c>
      <c r="B57" s="144">
        <v>871</v>
      </c>
      <c r="C57" s="143" t="s">
        <v>9</v>
      </c>
      <c r="D57" s="144">
        <v>13</v>
      </c>
      <c r="E57" s="143" t="s">
        <v>9</v>
      </c>
      <c r="F57" s="144">
        <v>2</v>
      </c>
      <c r="G57" s="143" t="s">
        <v>282</v>
      </c>
      <c r="H57" s="143" t="s">
        <v>297</v>
      </c>
      <c r="I57" s="144"/>
      <c r="J57" s="147">
        <f t="shared" si="3"/>
        <v>390.70000000000005</v>
      </c>
      <c r="K57" s="147">
        <f t="shared" si="3"/>
        <v>455.8</v>
      </c>
      <c r="L57" s="147">
        <f t="shared" si="3"/>
        <v>448.9</v>
      </c>
      <c r="M57" s="8"/>
      <c r="N57" s="8"/>
      <c r="O57" s="8"/>
      <c r="P57" s="8"/>
      <c r="Q57" s="8"/>
      <c r="R57" s="8"/>
      <c r="S57" s="8"/>
      <c r="T57" s="8"/>
      <c r="U57" s="8"/>
      <c r="V57" s="8"/>
      <c r="W57" s="8"/>
      <c r="X57" s="8"/>
      <c r="Y57" s="8"/>
      <c r="Z57" s="8"/>
    </row>
    <row r="58" spans="1:26" s="7" customFormat="1" ht="15.75">
      <c r="A58" s="148" t="s">
        <v>127</v>
      </c>
      <c r="B58" s="144">
        <v>871</v>
      </c>
      <c r="C58" s="143" t="s">
        <v>9</v>
      </c>
      <c r="D58" s="144">
        <v>13</v>
      </c>
      <c r="E58" s="143" t="s">
        <v>9</v>
      </c>
      <c r="F58" s="144">
        <v>2</v>
      </c>
      <c r="G58" s="143" t="s">
        <v>282</v>
      </c>
      <c r="H58" s="143" t="s">
        <v>297</v>
      </c>
      <c r="I58" s="144">
        <v>240</v>
      </c>
      <c r="J58" s="147">
        <f>588.7+100+402-700</f>
        <v>390.70000000000005</v>
      </c>
      <c r="K58" s="147">
        <v>455.8</v>
      </c>
      <c r="L58" s="147">
        <v>448.9</v>
      </c>
    </row>
    <row r="59" spans="1:26" s="13" customFormat="1" ht="31.5">
      <c r="A59" s="146" t="s">
        <v>122</v>
      </c>
      <c r="B59" s="144">
        <v>871</v>
      </c>
      <c r="C59" s="143" t="s">
        <v>9</v>
      </c>
      <c r="D59" s="144">
        <v>13</v>
      </c>
      <c r="E59" s="143" t="s">
        <v>16</v>
      </c>
      <c r="F59" s="144">
        <v>0</v>
      </c>
      <c r="G59" s="143" t="s">
        <v>282</v>
      </c>
      <c r="H59" s="143" t="s">
        <v>362</v>
      </c>
      <c r="I59" s="144"/>
      <c r="J59" s="147">
        <f>J60</f>
        <v>754.09999999999991</v>
      </c>
      <c r="K59" s="147">
        <f>K60</f>
        <v>754.09999999999991</v>
      </c>
      <c r="L59" s="147">
        <f>L60</f>
        <v>621.20000000000005</v>
      </c>
      <c r="M59" s="8"/>
      <c r="N59" s="8"/>
      <c r="O59" s="8"/>
      <c r="P59" s="8"/>
      <c r="Q59" s="8"/>
      <c r="R59" s="8"/>
      <c r="S59" s="8"/>
      <c r="T59" s="8"/>
      <c r="U59" s="8"/>
      <c r="V59" s="8"/>
      <c r="W59" s="8"/>
      <c r="X59" s="8"/>
      <c r="Y59" s="8"/>
      <c r="Z59" s="8"/>
    </row>
    <row r="60" spans="1:26" s="13" customFormat="1" ht="15.75">
      <c r="A60" s="146" t="s">
        <v>114</v>
      </c>
      <c r="B60" s="144">
        <v>871</v>
      </c>
      <c r="C60" s="143" t="s">
        <v>9</v>
      </c>
      <c r="D60" s="144">
        <v>13</v>
      </c>
      <c r="E60" s="143" t="s">
        <v>16</v>
      </c>
      <c r="F60" s="144">
        <v>1</v>
      </c>
      <c r="G60" s="143" t="s">
        <v>282</v>
      </c>
      <c r="H60" s="143" t="s">
        <v>362</v>
      </c>
      <c r="I60" s="144"/>
      <c r="J60" s="147">
        <f>J61+J64+J67+J70+J73</f>
        <v>754.09999999999991</v>
      </c>
      <c r="K60" s="147">
        <f>K61+K64+K67+K70+K73</f>
        <v>754.09999999999991</v>
      </c>
      <c r="L60" s="147">
        <f>L61+L64+L67+L70+L73</f>
        <v>621.20000000000005</v>
      </c>
      <c r="M60" s="8"/>
      <c r="N60" s="8"/>
      <c r="O60" s="8"/>
      <c r="P60" s="8"/>
      <c r="Q60" s="8"/>
      <c r="R60" s="8"/>
      <c r="S60" s="8"/>
      <c r="T60" s="8"/>
      <c r="U60" s="8"/>
      <c r="V60" s="8"/>
      <c r="W60" s="8"/>
      <c r="X60" s="8"/>
      <c r="Y60" s="8"/>
      <c r="Z60" s="8"/>
    </row>
    <row r="61" spans="1:26" ht="15.75">
      <c r="A61" s="146" t="s">
        <v>298</v>
      </c>
      <c r="B61" s="144">
        <v>871</v>
      </c>
      <c r="C61" s="143" t="s">
        <v>9</v>
      </c>
      <c r="D61" s="144">
        <v>13</v>
      </c>
      <c r="E61" s="143" t="s">
        <v>16</v>
      </c>
      <c r="F61" s="144">
        <v>1</v>
      </c>
      <c r="G61" s="143" t="s">
        <v>9</v>
      </c>
      <c r="H61" s="143" t="s">
        <v>362</v>
      </c>
      <c r="I61" s="144"/>
      <c r="J61" s="147">
        <f t="shared" ref="J61:L62" si="4">J62</f>
        <v>355</v>
      </c>
      <c r="K61" s="147">
        <f t="shared" si="4"/>
        <v>115</v>
      </c>
      <c r="L61" s="147">
        <f t="shared" si="4"/>
        <v>37.9</v>
      </c>
    </row>
    <row r="62" spans="1:26" ht="31.5">
      <c r="A62" s="148" t="s">
        <v>115</v>
      </c>
      <c r="B62" s="144">
        <v>871</v>
      </c>
      <c r="C62" s="143" t="s">
        <v>9</v>
      </c>
      <c r="D62" s="143" t="s">
        <v>113</v>
      </c>
      <c r="E62" s="143" t="s">
        <v>16</v>
      </c>
      <c r="F62" s="143" t="s">
        <v>116</v>
      </c>
      <c r="G62" s="143" t="s">
        <v>9</v>
      </c>
      <c r="H62" s="143" t="s">
        <v>299</v>
      </c>
      <c r="I62" s="143"/>
      <c r="J62" s="147">
        <f t="shared" si="4"/>
        <v>355</v>
      </c>
      <c r="K62" s="147">
        <f t="shared" si="4"/>
        <v>115</v>
      </c>
      <c r="L62" s="147">
        <f t="shared" si="4"/>
        <v>37.9</v>
      </c>
    </row>
    <row r="63" spans="1:26" ht="15.75">
      <c r="A63" s="148" t="s">
        <v>127</v>
      </c>
      <c r="B63" s="144">
        <v>871</v>
      </c>
      <c r="C63" s="143" t="s">
        <v>9</v>
      </c>
      <c r="D63" s="143" t="s">
        <v>113</v>
      </c>
      <c r="E63" s="143" t="s">
        <v>16</v>
      </c>
      <c r="F63" s="143" t="s">
        <v>116</v>
      </c>
      <c r="G63" s="143" t="s">
        <v>9</v>
      </c>
      <c r="H63" s="143" t="s">
        <v>299</v>
      </c>
      <c r="I63" s="143" t="s">
        <v>117</v>
      </c>
      <c r="J63" s="147">
        <f>30+70+255</f>
        <v>355</v>
      </c>
      <c r="K63" s="147">
        <v>115</v>
      </c>
      <c r="L63" s="147">
        <v>37.9</v>
      </c>
    </row>
    <row r="64" spans="1:26" ht="15.75">
      <c r="A64" s="146" t="s">
        <v>300</v>
      </c>
      <c r="B64" s="144">
        <v>871</v>
      </c>
      <c r="C64" s="143" t="s">
        <v>9</v>
      </c>
      <c r="D64" s="144">
        <v>13</v>
      </c>
      <c r="E64" s="143" t="s">
        <v>16</v>
      </c>
      <c r="F64" s="144">
        <v>1</v>
      </c>
      <c r="G64" s="143" t="s">
        <v>11</v>
      </c>
      <c r="H64" s="143" t="s">
        <v>362</v>
      </c>
      <c r="I64" s="144"/>
      <c r="J64" s="147">
        <f t="shared" ref="J64:L65" si="5">J65</f>
        <v>35</v>
      </c>
      <c r="K64" s="147">
        <f t="shared" si="5"/>
        <v>35</v>
      </c>
      <c r="L64" s="147">
        <f t="shared" si="5"/>
        <v>35</v>
      </c>
    </row>
    <row r="65" spans="1:26" ht="31.5">
      <c r="A65" s="148" t="s">
        <v>115</v>
      </c>
      <c r="B65" s="144">
        <v>871</v>
      </c>
      <c r="C65" s="143" t="s">
        <v>9</v>
      </c>
      <c r="D65" s="143" t="s">
        <v>113</v>
      </c>
      <c r="E65" s="143" t="s">
        <v>16</v>
      </c>
      <c r="F65" s="143" t="s">
        <v>116</v>
      </c>
      <c r="G65" s="143" t="s">
        <v>11</v>
      </c>
      <c r="H65" s="143" t="s">
        <v>299</v>
      </c>
      <c r="I65" s="143"/>
      <c r="J65" s="147">
        <f t="shared" si="5"/>
        <v>35</v>
      </c>
      <c r="K65" s="147">
        <f t="shared" si="5"/>
        <v>35</v>
      </c>
      <c r="L65" s="147">
        <f t="shared" si="5"/>
        <v>35</v>
      </c>
    </row>
    <row r="66" spans="1:26" s="13" customFormat="1" ht="15.75">
      <c r="A66" s="148" t="s">
        <v>127</v>
      </c>
      <c r="B66" s="144">
        <v>871</v>
      </c>
      <c r="C66" s="143" t="s">
        <v>9</v>
      </c>
      <c r="D66" s="143" t="s">
        <v>113</v>
      </c>
      <c r="E66" s="143" t="s">
        <v>16</v>
      </c>
      <c r="F66" s="143" t="s">
        <v>116</v>
      </c>
      <c r="G66" s="143" t="s">
        <v>11</v>
      </c>
      <c r="H66" s="143" t="s">
        <v>299</v>
      </c>
      <c r="I66" s="143" t="s">
        <v>117</v>
      </c>
      <c r="J66" s="147">
        <f>50-15</f>
        <v>35</v>
      </c>
      <c r="K66" s="147">
        <f>J66</f>
        <v>35</v>
      </c>
      <c r="L66" s="147">
        <v>35</v>
      </c>
      <c r="M66" s="8"/>
      <c r="N66" s="8"/>
      <c r="O66" s="8"/>
      <c r="P66" s="8"/>
      <c r="Q66" s="8"/>
      <c r="R66" s="8"/>
      <c r="S66" s="8"/>
      <c r="T66" s="8"/>
      <c r="U66" s="8"/>
      <c r="V66" s="8"/>
      <c r="W66" s="8"/>
      <c r="X66" s="8"/>
      <c r="Y66" s="8"/>
      <c r="Z66" s="8"/>
    </row>
    <row r="67" spans="1:26" ht="15.75">
      <c r="A67" s="146" t="s">
        <v>301</v>
      </c>
      <c r="B67" s="144">
        <v>871</v>
      </c>
      <c r="C67" s="143" t="s">
        <v>9</v>
      </c>
      <c r="D67" s="144">
        <v>13</v>
      </c>
      <c r="E67" s="143" t="s">
        <v>16</v>
      </c>
      <c r="F67" s="144">
        <v>1</v>
      </c>
      <c r="G67" s="143" t="s">
        <v>10</v>
      </c>
      <c r="H67" s="143" t="s">
        <v>362</v>
      </c>
      <c r="I67" s="144"/>
      <c r="J67" s="147">
        <f t="shared" ref="J67:L68" si="6">J68</f>
        <v>277.29999999999995</v>
      </c>
      <c r="K67" s="147">
        <f t="shared" si="6"/>
        <v>517.29999999999995</v>
      </c>
      <c r="L67" s="147">
        <f t="shared" si="6"/>
        <v>465.6</v>
      </c>
    </row>
    <row r="68" spans="1:26" ht="31.5">
      <c r="A68" s="148" t="s">
        <v>115</v>
      </c>
      <c r="B68" s="144">
        <v>871</v>
      </c>
      <c r="C68" s="143" t="s">
        <v>9</v>
      </c>
      <c r="D68" s="143" t="s">
        <v>113</v>
      </c>
      <c r="E68" s="143" t="s">
        <v>16</v>
      </c>
      <c r="F68" s="143" t="s">
        <v>116</v>
      </c>
      <c r="G68" s="143" t="s">
        <v>10</v>
      </c>
      <c r="H68" s="143" t="s">
        <v>299</v>
      </c>
      <c r="I68" s="143"/>
      <c r="J68" s="147">
        <f t="shared" si="6"/>
        <v>277.29999999999995</v>
      </c>
      <c r="K68" s="147">
        <f t="shared" si="6"/>
        <v>517.29999999999995</v>
      </c>
      <c r="L68" s="147">
        <f t="shared" si="6"/>
        <v>465.6</v>
      </c>
    </row>
    <row r="69" spans="1:26" ht="15.75">
      <c r="A69" s="148" t="s">
        <v>127</v>
      </c>
      <c r="B69" s="144">
        <v>871</v>
      </c>
      <c r="C69" s="143" t="s">
        <v>9</v>
      </c>
      <c r="D69" s="143" t="s">
        <v>113</v>
      </c>
      <c r="E69" s="143" t="s">
        <v>16</v>
      </c>
      <c r="F69" s="143" t="s">
        <v>116</v>
      </c>
      <c r="G69" s="143" t="s">
        <v>10</v>
      </c>
      <c r="H69" s="143" t="s">
        <v>299</v>
      </c>
      <c r="I69" s="143" t="s">
        <v>117</v>
      </c>
      <c r="J69" s="147">
        <f>567.3-50-240</f>
        <v>277.29999999999995</v>
      </c>
      <c r="K69" s="147">
        <v>517.29999999999995</v>
      </c>
      <c r="L69" s="147">
        <v>465.6</v>
      </c>
    </row>
    <row r="70" spans="1:26" ht="15.75">
      <c r="A70" s="146" t="s">
        <v>365</v>
      </c>
      <c r="B70" s="144">
        <v>871</v>
      </c>
      <c r="C70" s="143" t="s">
        <v>9</v>
      </c>
      <c r="D70" s="144">
        <v>13</v>
      </c>
      <c r="E70" s="143" t="s">
        <v>16</v>
      </c>
      <c r="F70" s="144">
        <v>1</v>
      </c>
      <c r="G70" s="143" t="s">
        <v>13</v>
      </c>
      <c r="H70" s="143" t="s">
        <v>362</v>
      </c>
      <c r="I70" s="144"/>
      <c r="J70" s="147">
        <f t="shared" ref="J70:L71" si="7">J71</f>
        <v>46.8</v>
      </c>
      <c r="K70" s="147">
        <f t="shared" si="7"/>
        <v>46.8</v>
      </c>
      <c r="L70" s="147">
        <f t="shared" si="7"/>
        <v>43.2</v>
      </c>
    </row>
    <row r="71" spans="1:26" ht="31.5">
      <c r="A71" s="148" t="s">
        <v>115</v>
      </c>
      <c r="B71" s="144">
        <v>871</v>
      </c>
      <c r="C71" s="143" t="s">
        <v>9</v>
      </c>
      <c r="D71" s="143" t="s">
        <v>113</v>
      </c>
      <c r="E71" s="143" t="s">
        <v>16</v>
      </c>
      <c r="F71" s="143" t="s">
        <v>116</v>
      </c>
      <c r="G71" s="143" t="s">
        <v>13</v>
      </c>
      <c r="H71" s="143" t="s">
        <v>299</v>
      </c>
      <c r="I71" s="143"/>
      <c r="J71" s="147">
        <f t="shared" si="7"/>
        <v>46.8</v>
      </c>
      <c r="K71" s="147">
        <f t="shared" si="7"/>
        <v>46.8</v>
      </c>
      <c r="L71" s="147">
        <f t="shared" si="7"/>
        <v>43.2</v>
      </c>
    </row>
    <row r="72" spans="1:26" s="13" customFormat="1" ht="15.75">
      <c r="A72" s="148" t="s">
        <v>127</v>
      </c>
      <c r="B72" s="144">
        <v>871</v>
      </c>
      <c r="C72" s="143" t="s">
        <v>9</v>
      </c>
      <c r="D72" s="143" t="s">
        <v>113</v>
      </c>
      <c r="E72" s="143" t="s">
        <v>16</v>
      </c>
      <c r="F72" s="143" t="s">
        <v>116</v>
      </c>
      <c r="G72" s="143" t="s">
        <v>13</v>
      </c>
      <c r="H72" s="143" t="s">
        <v>299</v>
      </c>
      <c r="I72" s="143" t="s">
        <v>117</v>
      </c>
      <c r="J72" s="147">
        <f>50-3.2</f>
        <v>46.8</v>
      </c>
      <c r="K72" s="147">
        <f>J72</f>
        <v>46.8</v>
      </c>
      <c r="L72" s="147">
        <v>43.2</v>
      </c>
      <c r="M72" s="8"/>
      <c r="N72" s="8"/>
      <c r="O72" s="8"/>
      <c r="P72" s="8"/>
      <c r="Q72" s="8"/>
      <c r="R72" s="8"/>
      <c r="S72" s="8"/>
      <c r="T72" s="8"/>
      <c r="U72" s="8"/>
      <c r="V72" s="8"/>
      <c r="W72" s="8"/>
      <c r="X72" s="8"/>
      <c r="Y72" s="8"/>
      <c r="Z72" s="8"/>
    </row>
    <row r="73" spans="1:26" ht="15.75">
      <c r="A73" s="146" t="s">
        <v>302</v>
      </c>
      <c r="B73" s="144">
        <v>871</v>
      </c>
      <c r="C73" s="143" t="s">
        <v>9</v>
      </c>
      <c r="D73" s="144">
        <v>13</v>
      </c>
      <c r="E73" s="143" t="s">
        <v>16</v>
      </c>
      <c r="F73" s="144">
        <v>1</v>
      </c>
      <c r="G73" s="143" t="s">
        <v>61</v>
      </c>
      <c r="H73" s="143" t="s">
        <v>362</v>
      </c>
      <c r="I73" s="144"/>
      <c r="J73" s="147">
        <f t="shared" ref="J73:L74" si="8">J74</f>
        <v>40</v>
      </c>
      <c r="K73" s="147">
        <f t="shared" si="8"/>
        <v>40</v>
      </c>
      <c r="L73" s="147">
        <f t="shared" si="8"/>
        <v>39.5</v>
      </c>
    </row>
    <row r="74" spans="1:26" s="7" customFormat="1" ht="31.5">
      <c r="A74" s="148" t="s">
        <v>115</v>
      </c>
      <c r="B74" s="144">
        <v>871</v>
      </c>
      <c r="C74" s="143" t="s">
        <v>9</v>
      </c>
      <c r="D74" s="143" t="s">
        <v>113</v>
      </c>
      <c r="E74" s="143" t="s">
        <v>16</v>
      </c>
      <c r="F74" s="143" t="s">
        <v>116</v>
      </c>
      <c r="G74" s="143" t="s">
        <v>61</v>
      </c>
      <c r="H74" s="143" t="s">
        <v>299</v>
      </c>
      <c r="I74" s="143"/>
      <c r="J74" s="147">
        <f t="shared" si="8"/>
        <v>40</v>
      </c>
      <c r="K74" s="147">
        <f t="shared" si="8"/>
        <v>40</v>
      </c>
      <c r="L74" s="147">
        <f t="shared" si="8"/>
        <v>39.5</v>
      </c>
    </row>
    <row r="75" spans="1:26" ht="15.75">
      <c r="A75" s="148" t="s">
        <v>127</v>
      </c>
      <c r="B75" s="144">
        <v>871</v>
      </c>
      <c r="C75" s="143" t="s">
        <v>9</v>
      </c>
      <c r="D75" s="143" t="s">
        <v>113</v>
      </c>
      <c r="E75" s="143" t="s">
        <v>16</v>
      </c>
      <c r="F75" s="143" t="s">
        <v>116</v>
      </c>
      <c r="G75" s="143" t="s">
        <v>61</v>
      </c>
      <c r="H75" s="143" t="s">
        <v>299</v>
      </c>
      <c r="I75" s="143" t="s">
        <v>117</v>
      </c>
      <c r="J75" s="147">
        <v>40</v>
      </c>
      <c r="K75" s="147">
        <f>J75</f>
        <v>40</v>
      </c>
      <c r="L75" s="147">
        <v>39.5</v>
      </c>
    </row>
    <row r="76" spans="1:26" ht="31.5">
      <c r="A76" s="146" t="s">
        <v>467</v>
      </c>
      <c r="B76" s="144">
        <v>871</v>
      </c>
      <c r="C76" s="143" t="s">
        <v>9</v>
      </c>
      <c r="D76" s="144">
        <v>13</v>
      </c>
      <c r="E76" s="143" t="s">
        <v>17</v>
      </c>
      <c r="F76" s="144">
        <v>0</v>
      </c>
      <c r="G76" s="143" t="s">
        <v>282</v>
      </c>
      <c r="H76" s="143" t="s">
        <v>362</v>
      </c>
      <c r="I76" s="144"/>
      <c r="J76" s="147">
        <f>J77</f>
        <v>24.8</v>
      </c>
      <c r="K76" s="147">
        <f>K77</f>
        <v>24.8</v>
      </c>
      <c r="L76" s="147">
        <f>L77</f>
        <v>20.9</v>
      </c>
    </row>
    <row r="77" spans="1:26" s="13" customFormat="1" ht="31.5">
      <c r="A77" s="146" t="s">
        <v>123</v>
      </c>
      <c r="B77" s="144">
        <v>871</v>
      </c>
      <c r="C77" s="143" t="s">
        <v>9</v>
      </c>
      <c r="D77" s="144">
        <v>13</v>
      </c>
      <c r="E77" s="143" t="s">
        <v>17</v>
      </c>
      <c r="F77" s="144">
        <v>0</v>
      </c>
      <c r="G77" s="143" t="s">
        <v>282</v>
      </c>
      <c r="H77" s="143" t="s">
        <v>362</v>
      </c>
      <c r="I77" s="144"/>
      <c r="J77" s="147">
        <f>J78+J81</f>
        <v>24.8</v>
      </c>
      <c r="K77" s="147">
        <f>K78+K81</f>
        <v>24.8</v>
      </c>
      <c r="L77" s="147">
        <f>L78+L81</f>
        <v>20.9</v>
      </c>
      <c r="M77" s="8"/>
      <c r="N77" s="8"/>
      <c r="O77" s="8"/>
      <c r="P77" s="8"/>
      <c r="Q77" s="8"/>
      <c r="R77" s="8"/>
      <c r="S77" s="8"/>
      <c r="T77" s="8"/>
      <c r="U77" s="8"/>
      <c r="V77" s="8"/>
      <c r="W77" s="8"/>
      <c r="X77" s="8"/>
      <c r="Y77" s="8"/>
      <c r="Z77" s="8"/>
    </row>
    <row r="78" spans="1:26" ht="31.5">
      <c r="A78" s="148" t="s">
        <v>119</v>
      </c>
      <c r="B78" s="144">
        <v>871</v>
      </c>
      <c r="C78" s="143" t="s">
        <v>9</v>
      </c>
      <c r="D78" s="143" t="s">
        <v>113</v>
      </c>
      <c r="E78" s="143" t="s">
        <v>17</v>
      </c>
      <c r="F78" s="143" t="s">
        <v>118</v>
      </c>
      <c r="G78" s="143" t="s">
        <v>282</v>
      </c>
      <c r="H78" s="143" t="s">
        <v>303</v>
      </c>
      <c r="I78" s="143"/>
      <c r="J78" s="147">
        <f>SUM(J79:J80)</f>
        <v>20.3</v>
      </c>
      <c r="K78" s="147">
        <f>SUM(K79:K80)</f>
        <v>20.3</v>
      </c>
      <c r="L78" s="147">
        <f>SUM(L79:L80)</f>
        <v>16.399999999999999</v>
      </c>
    </row>
    <row r="79" spans="1:26" ht="15.75">
      <c r="A79" s="148" t="s">
        <v>127</v>
      </c>
      <c r="B79" s="144">
        <v>871</v>
      </c>
      <c r="C79" s="143" t="s">
        <v>9</v>
      </c>
      <c r="D79" s="143" t="s">
        <v>113</v>
      </c>
      <c r="E79" s="143" t="s">
        <v>17</v>
      </c>
      <c r="F79" s="143" t="s">
        <v>118</v>
      </c>
      <c r="G79" s="143" t="s">
        <v>282</v>
      </c>
      <c r="H79" s="143" t="s">
        <v>303</v>
      </c>
      <c r="I79" s="143" t="s">
        <v>117</v>
      </c>
      <c r="J79" s="147">
        <f>55-35-15</f>
        <v>5</v>
      </c>
      <c r="K79" s="147">
        <f>J79</f>
        <v>5</v>
      </c>
      <c r="L79" s="147">
        <v>5</v>
      </c>
    </row>
    <row r="80" spans="1:26" ht="15.75">
      <c r="A80" s="148" t="s">
        <v>531</v>
      </c>
      <c r="B80" s="144">
        <v>871</v>
      </c>
      <c r="C80" s="143" t="s">
        <v>9</v>
      </c>
      <c r="D80" s="143" t="s">
        <v>113</v>
      </c>
      <c r="E80" s="143" t="s">
        <v>17</v>
      </c>
      <c r="F80" s="143" t="s">
        <v>118</v>
      </c>
      <c r="G80" s="143" t="s">
        <v>282</v>
      </c>
      <c r="H80" s="143" t="s">
        <v>303</v>
      </c>
      <c r="I80" s="143" t="s">
        <v>532</v>
      </c>
      <c r="J80" s="147">
        <f>15.3</f>
        <v>15.3</v>
      </c>
      <c r="K80" s="147">
        <f>J80</f>
        <v>15.3</v>
      </c>
      <c r="L80" s="147">
        <v>11.4</v>
      </c>
    </row>
    <row r="81" spans="1:26" s="7" customFormat="1" ht="31.5">
      <c r="A81" s="148" t="s">
        <v>498</v>
      </c>
      <c r="B81" s="144">
        <v>871</v>
      </c>
      <c r="C81" s="143" t="s">
        <v>9</v>
      </c>
      <c r="D81" s="143" t="s">
        <v>113</v>
      </c>
      <c r="E81" s="143" t="s">
        <v>17</v>
      </c>
      <c r="F81" s="143" t="s">
        <v>118</v>
      </c>
      <c r="G81" s="143" t="s">
        <v>282</v>
      </c>
      <c r="H81" s="143" t="s">
        <v>533</v>
      </c>
      <c r="I81" s="143"/>
      <c r="J81" s="147">
        <f>J82</f>
        <v>4.5</v>
      </c>
      <c r="K81" s="147">
        <f>K82</f>
        <v>4.5</v>
      </c>
      <c r="L81" s="147">
        <f>L82</f>
        <v>4.5</v>
      </c>
    </row>
    <row r="82" spans="1:26" ht="31.5">
      <c r="A82" s="148" t="s">
        <v>531</v>
      </c>
      <c r="B82" s="144">
        <v>871</v>
      </c>
      <c r="C82" s="143" t="s">
        <v>9</v>
      </c>
      <c r="D82" s="143" t="s">
        <v>113</v>
      </c>
      <c r="E82" s="143" t="s">
        <v>17</v>
      </c>
      <c r="F82" s="143" t="s">
        <v>118</v>
      </c>
      <c r="G82" s="143" t="s">
        <v>282</v>
      </c>
      <c r="H82" s="143" t="s">
        <v>533</v>
      </c>
      <c r="I82" s="143" t="s">
        <v>532</v>
      </c>
      <c r="J82" s="147">
        <f>6-1.5</f>
        <v>4.5</v>
      </c>
      <c r="K82" s="147">
        <f>J82</f>
        <v>4.5</v>
      </c>
      <c r="L82" s="147">
        <v>4.5</v>
      </c>
    </row>
    <row r="83" spans="1:26" ht="31.5">
      <c r="A83" s="146" t="s">
        <v>468</v>
      </c>
      <c r="B83" s="143" t="s">
        <v>21</v>
      </c>
      <c r="C83" s="143" t="s">
        <v>9</v>
      </c>
      <c r="D83" s="143" t="s">
        <v>113</v>
      </c>
      <c r="E83" s="143" t="s">
        <v>33</v>
      </c>
      <c r="F83" s="144">
        <v>0</v>
      </c>
      <c r="G83" s="143" t="s">
        <v>282</v>
      </c>
      <c r="H83" s="143" t="s">
        <v>362</v>
      </c>
      <c r="I83" s="144"/>
      <c r="J83" s="147">
        <f>J84</f>
        <v>82.4</v>
      </c>
      <c r="K83" s="147">
        <f t="shared" ref="K83:L85" si="9">K84</f>
        <v>82.4</v>
      </c>
      <c r="L83" s="147">
        <f t="shared" si="9"/>
        <v>82.4</v>
      </c>
    </row>
    <row r="84" spans="1:26" s="13" customFormat="1" ht="15.75">
      <c r="A84" s="148" t="s">
        <v>335</v>
      </c>
      <c r="B84" s="143" t="s">
        <v>21</v>
      </c>
      <c r="C84" s="143" t="s">
        <v>9</v>
      </c>
      <c r="D84" s="143" t="s">
        <v>113</v>
      </c>
      <c r="E84" s="143" t="s">
        <v>33</v>
      </c>
      <c r="F84" s="143" t="s">
        <v>118</v>
      </c>
      <c r="G84" s="143" t="s">
        <v>9</v>
      </c>
      <c r="H84" s="143" t="s">
        <v>362</v>
      </c>
      <c r="I84" s="143"/>
      <c r="J84" s="147">
        <f>J85</f>
        <v>82.4</v>
      </c>
      <c r="K84" s="147">
        <f t="shared" si="9"/>
        <v>82.4</v>
      </c>
      <c r="L84" s="147">
        <f t="shared" si="9"/>
        <v>82.4</v>
      </c>
      <c r="M84" s="8"/>
      <c r="N84" s="8"/>
      <c r="O84" s="8"/>
      <c r="P84" s="8"/>
      <c r="Q84" s="8"/>
      <c r="R84" s="8"/>
      <c r="S84" s="8"/>
      <c r="T84" s="8"/>
      <c r="U84" s="8"/>
      <c r="V84" s="8"/>
      <c r="W84" s="8"/>
      <c r="X84" s="8"/>
      <c r="Y84" s="8"/>
      <c r="Z84" s="8"/>
    </row>
    <row r="85" spans="1:26" ht="15.75">
      <c r="A85" s="148" t="s">
        <v>336</v>
      </c>
      <c r="B85" s="143" t="s">
        <v>21</v>
      </c>
      <c r="C85" s="143" t="s">
        <v>9</v>
      </c>
      <c r="D85" s="143" t="s">
        <v>113</v>
      </c>
      <c r="E85" s="143" t="s">
        <v>33</v>
      </c>
      <c r="F85" s="143" t="s">
        <v>118</v>
      </c>
      <c r="G85" s="143" t="s">
        <v>9</v>
      </c>
      <c r="H85" s="143" t="s">
        <v>337</v>
      </c>
      <c r="I85" s="143"/>
      <c r="J85" s="147">
        <f>J86</f>
        <v>82.4</v>
      </c>
      <c r="K85" s="147">
        <f t="shared" si="9"/>
        <v>82.4</v>
      </c>
      <c r="L85" s="147">
        <f t="shared" si="9"/>
        <v>82.4</v>
      </c>
    </row>
    <row r="86" spans="1:26" ht="15.75">
      <c r="A86" s="148" t="s">
        <v>127</v>
      </c>
      <c r="B86" s="143" t="s">
        <v>21</v>
      </c>
      <c r="C86" s="143" t="s">
        <v>9</v>
      </c>
      <c r="D86" s="143" t="s">
        <v>113</v>
      </c>
      <c r="E86" s="143" t="s">
        <v>33</v>
      </c>
      <c r="F86" s="143" t="s">
        <v>118</v>
      </c>
      <c r="G86" s="143" t="s">
        <v>9</v>
      </c>
      <c r="H86" s="143" t="s">
        <v>337</v>
      </c>
      <c r="I86" s="143" t="s">
        <v>117</v>
      </c>
      <c r="J86" s="147">
        <f>50+32.4</f>
        <v>82.4</v>
      </c>
      <c r="K86" s="147">
        <f>J86</f>
        <v>82.4</v>
      </c>
      <c r="L86" s="147">
        <v>82.4</v>
      </c>
    </row>
    <row r="87" spans="1:26" s="7" customFormat="1" ht="31.5">
      <c r="A87" s="146" t="s">
        <v>463</v>
      </c>
      <c r="B87" s="144">
        <v>871</v>
      </c>
      <c r="C87" s="143" t="s">
        <v>9</v>
      </c>
      <c r="D87" s="144">
        <v>13</v>
      </c>
      <c r="E87" s="143" t="s">
        <v>34</v>
      </c>
      <c r="F87" s="144">
        <v>0</v>
      </c>
      <c r="G87" s="143" t="s">
        <v>282</v>
      </c>
      <c r="H87" s="143" t="s">
        <v>362</v>
      </c>
      <c r="I87" s="144"/>
      <c r="J87" s="147">
        <f>J88</f>
        <v>2099</v>
      </c>
      <c r="K87" s="147">
        <f t="shared" ref="K87:L89" si="10">K88</f>
        <v>2099</v>
      </c>
      <c r="L87" s="147">
        <f t="shared" si="10"/>
        <v>2071.6999999999998</v>
      </c>
    </row>
    <row r="88" spans="1:26" ht="15.75">
      <c r="A88" s="148" t="s">
        <v>280</v>
      </c>
      <c r="B88" s="144">
        <v>871</v>
      </c>
      <c r="C88" s="143" t="s">
        <v>9</v>
      </c>
      <c r="D88" s="143" t="s">
        <v>113</v>
      </c>
      <c r="E88" s="143" t="s">
        <v>34</v>
      </c>
      <c r="F88" s="143" t="s">
        <v>118</v>
      </c>
      <c r="G88" s="143" t="s">
        <v>9</v>
      </c>
      <c r="H88" s="143" t="s">
        <v>362</v>
      </c>
      <c r="I88" s="143"/>
      <c r="J88" s="147">
        <f>J89</f>
        <v>2099</v>
      </c>
      <c r="K88" s="147">
        <f t="shared" si="10"/>
        <v>2099</v>
      </c>
      <c r="L88" s="147">
        <f t="shared" si="10"/>
        <v>2071.6999999999998</v>
      </c>
    </row>
    <row r="89" spans="1:26" ht="15.75">
      <c r="A89" s="148" t="s">
        <v>280</v>
      </c>
      <c r="B89" s="144">
        <v>871</v>
      </c>
      <c r="C89" s="143" t="s">
        <v>9</v>
      </c>
      <c r="D89" s="143" t="s">
        <v>113</v>
      </c>
      <c r="E89" s="143" t="s">
        <v>34</v>
      </c>
      <c r="F89" s="143" t="s">
        <v>118</v>
      </c>
      <c r="G89" s="143" t="s">
        <v>9</v>
      </c>
      <c r="H89" s="143" t="s">
        <v>281</v>
      </c>
      <c r="I89" s="143"/>
      <c r="J89" s="147">
        <f>J90</f>
        <v>2099</v>
      </c>
      <c r="K89" s="147">
        <f t="shared" si="10"/>
        <v>2099</v>
      </c>
      <c r="L89" s="147">
        <f t="shared" si="10"/>
        <v>2071.6999999999998</v>
      </c>
    </row>
    <row r="90" spans="1:26" ht="15.75">
      <c r="A90" s="148" t="s">
        <v>127</v>
      </c>
      <c r="B90" s="144">
        <v>871</v>
      </c>
      <c r="C90" s="143" t="s">
        <v>9</v>
      </c>
      <c r="D90" s="143" t="s">
        <v>113</v>
      </c>
      <c r="E90" s="143" t="s">
        <v>34</v>
      </c>
      <c r="F90" s="143" t="s">
        <v>118</v>
      </c>
      <c r="G90" s="143" t="s">
        <v>9</v>
      </c>
      <c r="H90" s="143" t="s">
        <v>281</v>
      </c>
      <c r="I90" s="143" t="s">
        <v>117</v>
      </c>
      <c r="J90" s="147">
        <f>94+100-100+2005</f>
        <v>2099</v>
      </c>
      <c r="K90" s="147">
        <f>J90</f>
        <v>2099</v>
      </c>
      <c r="L90" s="147">
        <v>2071.6999999999998</v>
      </c>
    </row>
    <row r="91" spans="1:26" ht="31.5">
      <c r="A91" s="146" t="s">
        <v>469</v>
      </c>
      <c r="B91" s="144">
        <v>871</v>
      </c>
      <c r="C91" s="143" t="s">
        <v>9</v>
      </c>
      <c r="D91" s="144">
        <v>13</v>
      </c>
      <c r="E91" s="143" t="s">
        <v>113</v>
      </c>
      <c r="F91" s="144">
        <v>0</v>
      </c>
      <c r="G91" s="143" t="s">
        <v>282</v>
      </c>
      <c r="H91" s="143" t="s">
        <v>362</v>
      </c>
      <c r="I91" s="144"/>
      <c r="J91" s="147">
        <f t="shared" ref="J91:L93" si="11">J92</f>
        <v>20</v>
      </c>
      <c r="K91" s="147">
        <f t="shared" si="11"/>
        <v>20</v>
      </c>
      <c r="L91" s="147">
        <f t="shared" si="11"/>
        <v>20</v>
      </c>
    </row>
    <row r="92" spans="1:26" ht="31.5">
      <c r="A92" s="148" t="s">
        <v>409</v>
      </c>
      <c r="B92" s="144">
        <v>871</v>
      </c>
      <c r="C92" s="143" t="s">
        <v>9</v>
      </c>
      <c r="D92" s="143" t="s">
        <v>113</v>
      </c>
      <c r="E92" s="143" t="s">
        <v>113</v>
      </c>
      <c r="F92" s="143" t="s">
        <v>118</v>
      </c>
      <c r="G92" s="143" t="s">
        <v>14</v>
      </c>
      <c r="H92" s="143"/>
      <c r="I92" s="143"/>
      <c r="J92" s="147">
        <f t="shared" si="11"/>
        <v>20</v>
      </c>
      <c r="K92" s="147">
        <f t="shared" si="11"/>
        <v>20</v>
      </c>
      <c r="L92" s="147">
        <f t="shared" si="11"/>
        <v>20</v>
      </c>
    </row>
    <row r="93" spans="1:26" ht="15.75">
      <c r="A93" s="148" t="s">
        <v>410</v>
      </c>
      <c r="B93" s="144">
        <v>871</v>
      </c>
      <c r="C93" s="143" t="s">
        <v>9</v>
      </c>
      <c r="D93" s="143" t="s">
        <v>113</v>
      </c>
      <c r="E93" s="143" t="s">
        <v>113</v>
      </c>
      <c r="F93" s="143" t="s">
        <v>118</v>
      </c>
      <c r="G93" s="143" t="s">
        <v>14</v>
      </c>
      <c r="H93" s="143" t="s">
        <v>411</v>
      </c>
      <c r="I93" s="143"/>
      <c r="J93" s="147">
        <f t="shared" si="11"/>
        <v>20</v>
      </c>
      <c r="K93" s="147">
        <f t="shared" si="11"/>
        <v>20</v>
      </c>
      <c r="L93" s="147">
        <f t="shared" si="11"/>
        <v>20</v>
      </c>
    </row>
    <row r="94" spans="1:26" ht="15.75">
      <c r="A94" s="148" t="s">
        <v>127</v>
      </c>
      <c r="B94" s="144">
        <v>871</v>
      </c>
      <c r="C94" s="143" t="s">
        <v>9</v>
      </c>
      <c r="D94" s="143" t="s">
        <v>113</v>
      </c>
      <c r="E94" s="143" t="s">
        <v>113</v>
      </c>
      <c r="F94" s="143" t="s">
        <v>118</v>
      </c>
      <c r="G94" s="143" t="s">
        <v>14</v>
      </c>
      <c r="H94" s="143" t="s">
        <v>411</v>
      </c>
      <c r="I94" s="143" t="s">
        <v>117</v>
      </c>
      <c r="J94" s="147">
        <v>20</v>
      </c>
      <c r="K94" s="147">
        <f>J94</f>
        <v>20</v>
      </c>
      <c r="L94" s="147">
        <v>20</v>
      </c>
    </row>
    <row r="95" spans="1:26" ht="15.75">
      <c r="A95" s="148" t="s">
        <v>54</v>
      </c>
      <c r="B95" s="143" t="s">
        <v>21</v>
      </c>
      <c r="C95" s="143" t="s">
        <v>9</v>
      </c>
      <c r="D95" s="143" t="s">
        <v>113</v>
      </c>
      <c r="E95" s="143" t="s">
        <v>42</v>
      </c>
      <c r="F95" s="144">
        <v>0</v>
      </c>
      <c r="G95" s="143" t="s">
        <v>282</v>
      </c>
      <c r="H95" s="143" t="s">
        <v>362</v>
      </c>
      <c r="I95" s="144"/>
      <c r="J95" s="147">
        <f>J96</f>
        <v>668.5</v>
      </c>
      <c r="K95" s="147">
        <f>K96</f>
        <v>768.5</v>
      </c>
      <c r="L95" s="147">
        <f>L96</f>
        <v>610.30000000000007</v>
      </c>
    </row>
    <row r="96" spans="1:26" ht="15.75">
      <c r="A96" s="148" t="s">
        <v>55</v>
      </c>
      <c r="B96" s="143" t="s">
        <v>21</v>
      </c>
      <c r="C96" s="143" t="s">
        <v>9</v>
      </c>
      <c r="D96" s="143" t="s">
        <v>113</v>
      </c>
      <c r="E96" s="143" t="s">
        <v>42</v>
      </c>
      <c r="F96" s="144">
        <v>9</v>
      </c>
      <c r="G96" s="143" t="s">
        <v>282</v>
      </c>
      <c r="H96" s="143" t="s">
        <v>362</v>
      </c>
      <c r="I96" s="144"/>
      <c r="J96" s="147">
        <f>J97+J99</f>
        <v>668.5</v>
      </c>
      <c r="K96" s="147">
        <f>K97+K99</f>
        <v>768.5</v>
      </c>
      <c r="L96" s="147">
        <f>L97+L99</f>
        <v>610.30000000000007</v>
      </c>
    </row>
    <row r="97" spans="1:12" ht="15.75">
      <c r="A97" s="148" t="s">
        <v>534</v>
      </c>
      <c r="B97" s="143" t="s">
        <v>21</v>
      </c>
      <c r="C97" s="143" t="s">
        <v>9</v>
      </c>
      <c r="D97" s="143" t="s">
        <v>113</v>
      </c>
      <c r="E97" s="143" t="s">
        <v>42</v>
      </c>
      <c r="F97" s="144">
        <v>9</v>
      </c>
      <c r="G97" s="143" t="s">
        <v>282</v>
      </c>
      <c r="H97" s="143" t="s">
        <v>535</v>
      </c>
      <c r="I97" s="144"/>
      <c r="J97" s="147">
        <f>J98</f>
        <v>650</v>
      </c>
      <c r="K97" s="147">
        <f>K98</f>
        <v>750</v>
      </c>
      <c r="L97" s="147">
        <f>L98</f>
        <v>592.20000000000005</v>
      </c>
    </row>
    <row r="98" spans="1:12" ht="15.75">
      <c r="A98" s="148" t="s">
        <v>127</v>
      </c>
      <c r="B98" s="143" t="s">
        <v>21</v>
      </c>
      <c r="C98" s="143" t="s">
        <v>9</v>
      </c>
      <c r="D98" s="143" t="s">
        <v>113</v>
      </c>
      <c r="E98" s="143" t="s">
        <v>42</v>
      </c>
      <c r="F98" s="144">
        <v>9</v>
      </c>
      <c r="G98" s="143" t="s">
        <v>282</v>
      </c>
      <c r="H98" s="143" t="s">
        <v>535</v>
      </c>
      <c r="I98" s="144">
        <v>240</v>
      </c>
      <c r="J98" s="147">
        <f>350+300</f>
        <v>650</v>
      </c>
      <c r="K98" s="147">
        <v>750</v>
      </c>
      <c r="L98" s="147">
        <v>592.20000000000005</v>
      </c>
    </row>
    <row r="99" spans="1:12" ht="15.75">
      <c r="A99" s="148" t="s">
        <v>536</v>
      </c>
      <c r="B99" s="143" t="s">
        <v>21</v>
      </c>
      <c r="C99" s="143" t="s">
        <v>9</v>
      </c>
      <c r="D99" s="143" t="s">
        <v>113</v>
      </c>
      <c r="E99" s="143" t="s">
        <v>42</v>
      </c>
      <c r="F99" s="144">
        <v>9</v>
      </c>
      <c r="G99" s="143" t="s">
        <v>282</v>
      </c>
      <c r="H99" s="144">
        <v>29090</v>
      </c>
      <c r="I99" s="143"/>
      <c r="J99" s="147">
        <f>J100</f>
        <v>18.5</v>
      </c>
      <c r="K99" s="147">
        <f>K100</f>
        <v>18.5</v>
      </c>
      <c r="L99" s="147">
        <f>L100</f>
        <v>18.100000000000001</v>
      </c>
    </row>
    <row r="100" spans="1:12" ht="15.75">
      <c r="A100" s="148" t="s">
        <v>107</v>
      </c>
      <c r="B100" s="143" t="s">
        <v>21</v>
      </c>
      <c r="C100" s="143" t="s">
        <v>9</v>
      </c>
      <c r="D100" s="143" t="s">
        <v>113</v>
      </c>
      <c r="E100" s="143" t="s">
        <v>42</v>
      </c>
      <c r="F100" s="144">
        <v>9</v>
      </c>
      <c r="G100" s="143" t="s">
        <v>282</v>
      </c>
      <c r="H100" s="144">
        <v>29090</v>
      </c>
      <c r="I100" s="143" t="s">
        <v>366</v>
      </c>
      <c r="J100" s="147">
        <v>18.5</v>
      </c>
      <c r="K100" s="147">
        <f>J100</f>
        <v>18.5</v>
      </c>
      <c r="L100" s="147">
        <v>18.100000000000001</v>
      </c>
    </row>
    <row r="101" spans="1:12" ht="15.75">
      <c r="A101" s="152" t="s">
        <v>248</v>
      </c>
      <c r="B101" s="144">
        <v>871</v>
      </c>
      <c r="C101" s="143" t="s">
        <v>11</v>
      </c>
      <c r="D101" s="144" t="s">
        <v>7</v>
      </c>
      <c r="E101" s="143" t="s">
        <v>8</v>
      </c>
      <c r="F101" s="144"/>
      <c r="G101" s="143"/>
      <c r="H101" s="143"/>
      <c r="I101" s="144" t="s">
        <v>6</v>
      </c>
      <c r="J101" s="145">
        <f>J102</f>
        <v>481.6</v>
      </c>
      <c r="K101" s="145">
        <f t="shared" ref="K101:L104" si="12">K102</f>
        <v>481.6</v>
      </c>
      <c r="L101" s="145">
        <f t="shared" si="12"/>
        <v>481.6</v>
      </c>
    </row>
    <row r="102" spans="1:12" ht="15.75">
      <c r="A102" s="153" t="s">
        <v>2</v>
      </c>
      <c r="B102" s="144">
        <v>871</v>
      </c>
      <c r="C102" s="143" t="s">
        <v>11</v>
      </c>
      <c r="D102" s="143" t="s">
        <v>10</v>
      </c>
      <c r="E102" s="143" t="s">
        <v>8</v>
      </c>
      <c r="F102" s="144"/>
      <c r="G102" s="143"/>
      <c r="H102" s="143"/>
      <c r="I102" s="144" t="s">
        <v>6</v>
      </c>
      <c r="J102" s="147">
        <f>J103</f>
        <v>481.6</v>
      </c>
      <c r="K102" s="147">
        <f t="shared" si="12"/>
        <v>481.6</v>
      </c>
      <c r="L102" s="147">
        <f t="shared" si="12"/>
        <v>481.6</v>
      </c>
    </row>
    <row r="103" spans="1:12" ht="15.75">
      <c r="A103" s="148" t="s">
        <v>54</v>
      </c>
      <c r="B103" s="144">
        <v>871</v>
      </c>
      <c r="C103" s="143" t="s">
        <v>11</v>
      </c>
      <c r="D103" s="143" t="s">
        <v>10</v>
      </c>
      <c r="E103" s="143" t="s">
        <v>42</v>
      </c>
      <c r="F103" s="144">
        <v>0</v>
      </c>
      <c r="G103" s="143" t="s">
        <v>282</v>
      </c>
      <c r="H103" s="143" t="s">
        <v>362</v>
      </c>
      <c r="I103" s="144"/>
      <c r="J103" s="147">
        <f>J104</f>
        <v>481.6</v>
      </c>
      <c r="K103" s="147">
        <f t="shared" si="12"/>
        <v>481.6</v>
      </c>
      <c r="L103" s="147">
        <f t="shared" si="12"/>
        <v>481.6</v>
      </c>
    </row>
    <row r="104" spans="1:12" ht="15.75">
      <c r="A104" s="148" t="s">
        <v>55</v>
      </c>
      <c r="B104" s="144">
        <v>871</v>
      </c>
      <c r="C104" s="143" t="s">
        <v>11</v>
      </c>
      <c r="D104" s="143" t="s">
        <v>10</v>
      </c>
      <c r="E104" s="143" t="s">
        <v>42</v>
      </c>
      <c r="F104" s="144">
        <v>9</v>
      </c>
      <c r="G104" s="143" t="s">
        <v>282</v>
      </c>
      <c r="H104" s="143" t="s">
        <v>362</v>
      </c>
      <c r="I104" s="144"/>
      <c r="J104" s="147">
        <f>J105</f>
        <v>481.6</v>
      </c>
      <c r="K104" s="147">
        <f t="shared" si="12"/>
        <v>481.6</v>
      </c>
      <c r="L104" s="147">
        <f t="shared" si="12"/>
        <v>481.6</v>
      </c>
    </row>
    <row r="105" spans="1:12" ht="31.5">
      <c r="A105" s="146" t="s">
        <v>56</v>
      </c>
      <c r="B105" s="144">
        <v>871</v>
      </c>
      <c r="C105" s="143" t="s">
        <v>11</v>
      </c>
      <c r="D105" s="143" t="s">
        <v>10</v>
      </c>
      <c r="E105" s="143" t="s">
        <v>42</v>
      </c>
      <c r="F105" s="144">
        <v>9</v>
      </c>
      <c r="G105" s="143" t="s">
        <v>282</v>
      </c>
      <c r="H105" s="143" t="s">
        <v>304</v>
      </c>
      <c r="I105" s="144"/>
      <c r="J105" s="147">
        <f>SUM(J106:J107)</f>
        <v>481.6</v>
      </c>
      <c r="K105" s="147">
        <f>SUM(K106:K107)</f>
        <v>481.6</v>
      </c>
      <c r="L105" s="147">
        <f>SUM(L106:L107)</f>
        <v>481.6</v>
      </c>
    </row>
    <row r="106" spans="1:12" ht="15.75">
      <c r="A106" s="146" t="s">
        <v>106</v>
      </c>
      <c r="B106" s="144">
        <v>871</v>
      </c>
      <c r="C106" s="143" t="s">
        <v>11</v>
      </c>
      <c r="D106" s="143" t="s">
        <v>10</v>
      </c>
      <c r="E106" s="143" t="s">
        <v>42</v>
      </c>
      <c r="F106" s="144">
        <v>9</v>
      </c>
      <c r="G106" s="143" t="s">
        <v>282</v>
      </c>
      <c r="H106" s="143" t="s">
        <v>304</v>
      </c>
      <c r="I106" s="144">
        <v>120</v>
      </c>
      <c r="J106" s="147">
        <f>421+60.6-20</f>
        <v>461.6</v>
      </c>
      <c r="K106" s="147">
        <f>J106</f>
        <v>461.6</v>
      </c>
      <c r="L106" s="147">
        <v>461.6</v>
      </c>
    </row>
    <row r="107" spans="1:12" ht="15.75">
      <c r="A107" s="148" t="s">
        <v>127</v>
      </c>
      <c r="B107" s="144">
        <v>871</v>
      </c>
      <c r="C107" s="143" t="s">
        <v>11</v>
      </c>
      <c r="D107" s="143" t="s">
        <v>10</v>
      </c>
      <c r="E107" s="143" t="s">
        <v>42</v>
      </c>
      <c r="F107" s="144">
        <v>9</v>
      </c>
      <c r="G107" s="143" t="s">
        <v>282</v>
      </c>
      <c r="H107" s="143" t="s">
        <v>304</v>
      </c>
      <c r="I107" s="144">
        <v>240</v>
      </c>
      <c r="J107" s="147">
        <v>20</v>
      </c>
      <c r="K107" s="147">
        <f>J107</f>
        <v>20</v>
      </c>
      <c r="L107" s="147">
        <v>20</v>
      </c>
    </row>
    <row r="108" spans="1:12" ht="15.75">
      <c r="A108" s="152" t="s">
        <v>249</v>
      </c>
      <c r="B108" s="144">
        <v>871</v>
      </c>
      <c r="C108" s="143" t="s">
        <v>10</v>
      </c>
      <c r="D108" s="143"/>
      <c r="E108" s="143"/>
      <c r="F108" s="144"/>
      <c r="G108" s="143"/>
      <c r="H108" s="143"/>
      <c r="I108" s="144"/>
      <c r="J108" s="147">
        <f>J109+J121</f>
        <v>1635.5</v>
      </c>
      <c r="K108" s="147">
        <f>K109+K121</f>
        <v>1635.5</v>
      </c>
      <c r="L108" s="147">
        <f>L109+L121</f>
        <v>1520</v>
      </c>
    </row>
    <row r="109" spans="1:12" ht="15.75">
      <c r="A109" s="146" t="s">
        <v>29</v>
      </c>
      <c r="B109" s="144">
        <v>871</v>
      </c>
      <c r="C109" s="143" t="s">
        <v>10</v>
      </c>
      <c r="D109" s="143" t="s">
        <v>22</v>
      </c>
      <c r="E109" s="143"/>
      <c r="F109" s="144"/>
      <c r="G109" s="143"/>
      <c r="H109" s="143"/>
      <c r="I109" s="144"/>
      <c r="J109" s="147">
        <f>J110+J117</f>
        <v>1102.5</v>
      </c>
      <c r="K109" s="147">
        <f>K110+K117</f>
        <v>1102.5</v>
      </c>
      <c r="L109" s="147">
        <f>L110+L117</f>
        <v>1072.5999999999999</v>
      </c>
    </row>
    <row r="110" spans="1:12" ht="47.25">
      <c r="A110" s="146" t="s">
        <v>367</v>
      </c>
      <c r="B110" s="144">
        <v>871</v>
      </c>
      <c r="C110" s="143" t="s">
        <v>10</v>
      </c>
      <c r="D110" s="143" t="s">
        <v>22</v>
      </c>
      <c r="E110" s="143" t="s">
        <v>11</v>
      </c>
      <c r="F110" s="144">
        <v>0</v>
      </c>
      <c r="G110" s="143" t="s">
        <v>282</v>
      </c>
      <c r="H110" s="143" t="s">
        <v>362</v>
      </c>
      <c r="I110" s="144"/>
      <c r="J110" s="147">
        <f>J111+J114</f>
        <v>1067.5</v>
      </c>
      <c r="K110" s="147">
        <f>K111+K114</f>
        <v>1067.5</v>
      </c>
      <c r="L110" s="147">
        <f>L111+L114</f>
        <v>1037.5999999999999</v>
      </c>
    </row>
    <row r="111" spans="1:12" ht="15.75">
      <c r="A111" s="148" t="s">
        <v>305</v>
      </c>
      <c r="B111" s="144">
        <v>871</v>
      </c>
      <c r="C111" s="143" t="s">
        <v>10</v>
      </c>
      <c r="D111" s="143" t="s">
        <v>22</v>
      </c>
      <c r="E111" s="143" t="s">
        <v>11</v>
      </c>
      <c r="F111" s="144">
        <v>1</v>
      </c>
      <c r="G111" s="143" t="s">
        <v>282</v>
      </c>
      <c r="H111" s="143" t="s">
        <v>362</v>
      </c>
      <c r="I111" s="144"/>
      <c r="J111" s="147">
        <f t="shared" ref="J111:L112" si="13">J112</f>
        <v>776.6</v>
      </c>
      <c r="K111" s="147">
        <f t="shared" si="13"/>
        <v>776.6</v>
      </c>
      <c r="L111" s="147">
        <f t="shared" si="13"/>
        <v>776.6</v>
      </c>
    </row>
    <row r="112" spans="1:12" ht="15.75">
      <c r="A112" s="148" t="s">
        <v>306</v>
      </c>
      <c r="B112" s="144">
        <v>871</v>
      </c>
      <c r="C112" s="143" t="s">
        <v>10</v>
      </c>
      <c r="D112" s="143" t="s">
        <v>22</v>
      </c>
      <c r="E112" s="143" t="s">
        <v>11</v>
      </c>
      <c r="F112" s="144">
        <v>1</v>
      </c>
      <c r="G112" s="143" t="s">
        <v>282</v>
      </c>
      <c r="H112" s="143" t="s">
        <v>307</v>
      </c>
      <c r="I112" s="144"/>
      <c r="J112" s="147">
        <f t="shared" si="13"/>
        <v>776.6</v>
      </c>
      <c r="K112" s="147">
        <f t="shared" si="13"/>
        <v>776.6</v>
      </c>
      <c r="L112" s="147">
        <f t="shared" si="13"/>
        <v>776.6</v>
      </c>
    </row>
    <row r="113" spans="1:12" ht="15.75">
      <c r="A113" s="148" t="s">
        <v>127</v>
      </c>
      <c r="B113" s="144">
        <v>871</v>
      </c>
      <c r="C113" s="143" t="s">
        <v>10</v>
      </c>
      <c r="D113" s="143" t="s">
        <v>22</v>
      </c>
      <c r="E113" s="143" t="s">
        <v>11</v>
      </c>
      <c r="F113" s="144">
        <v>1</v>
      </c>
      <c r="G113" s="143" t="s">
        <v>282</v>
      </c>
      <c r="H113" s="143" t="s">
        <v>307</v>
      </c>
      <c r="I113" s="144">
        <v>240</v>
      </c>
      <c r="J113" s="147">
        <f>776.6</f>
        <v>776.6</v>
      </c>
      <c r="K113" s="147">
        <f>J113</f>
        <v>776.6</v>
      </c>
      <c r="L113" s="147">
        <v>776.6</v>
      </c>
    </row>
    <row r="114" spans="1:12" s="7" customFormat="1" ht="31.5">
      <c r="A114" s="148" t="s">
        <v>308</v>
      </c>
      <c r="B114" s="144">
        <v>871</v>
      </c>
      <c r="C114" s="143" t="s">
        <v>10</v>
      </c>
      <c r="D114" s="143" t="s">
        <v>22</v>
      </c>
      <c r="E114" s="143" t="s">
        <v>11</v>
      </c>
      <c r="F114" s="144">
        <v>3</v>
      </c>
      <c r="G114" s="143" t="s">
        <v>282</v>
      </c>
      <c r="H114" s="143" t="s">
        <v>362</v>
      </c>
      <c r="I114" s="144"/>
      <c r="J114" s="147">
        <f t="shared" ref="J114:L115" si="14">J115</f>
        <v>290.89999999999998</v>
      </c>
      <c r="K114" s="147">
        <f t="shared" si="14"/>
        <v>290.89999999999998</v>
      </c>
      <c r="L114" s="147">
        <f t="shared" si="14"/>
        <v>261</v>
      </c>
    </row>
    <row r="115" spans="1:12" s="7" customFormat="1" ht="15.75">
      <c r="A115" s="148" t="s">
        <v>368</v>
      </c>
      <c r="B115" s="144">
        <v>871</v>
      </c>
      <c r="C115" s="143" t="s">
        <v>10</v>
      </c>
      <c r="D115" s="143" t="s">
        <v>22</v>
      </c>
      <c r="E115" s="143" t="s">
        <v>11</v>
      </c>
      <c r="F115" s="144">
        <v>3</v>
      </c>
      <c r="G115" s="143" t="s">
        <v>282</v>
      </c>
      <c r="H115" s="143" t="s">
        <v>369</v>
      </c>
      <c r="I115" s="144"/>
      <c r="J115" s="147">
        <f t="shared" si="14"/>
        <v>290.89999999999998</v>
      </c>
      <c r="K115" s="147">
        <f t="shared" si="14"/>
        <v>290.89999999999998</v>
      </c>
      <c r="L115" s="147">
        <f t="shared" si="14"/>
        <v>261</v>
      </c>
    </row>
    <row r="116" spans="1:12" s="7" customFormat="1" ht="15.75">
      <c r="A116" s="148" t="s">
        <v>127</v>
      </c>
      <c r="B116" s="144">
        <v>871</v>
      </c>
      <c r="C116" s="143" t="s">
        <v>10</v>
      </c>
      <c r="D116" s="143" t="s">
        <v>22</v>
      </c>
      <c r="E116" s="143" t="s">
        <v>11</v>
      </c>
      <c r="F116" s="144">
        <v>3</v>
      </c>
      <c r="G116" s="143" t="s">
        <v>282</v>
      </c>
      <c r="H116" s="143" t="s">
        <v>369</v>
      </c>
      <c r="I116" s="144">
        <v>240</v>
      </c>
      <c r="J116" s="147">
        <f>340.9-50</f>
        <v>290.89999999999998</v>
      </c>
      <c r="K116" s="147">
        <f>J116</f>
        <v>290.89999999999998</v>
      </c>
      <c r="L116" s="147">
        <v>261</v>
      </c>
    </row>
    <row r="117" spans="1:12" s="7" customFormat="1" ht="15.75">
      <c r="A117" s="148" t="s">
        <v>51</v>
      </c>
      <c r="B117" s="144">
        <v>871</v>
      </c>
      <c r="C117" s="143" t="s">
        <v>10</v>
      </c>
      <c r="D117" s="143" t="s">
        <v>22</v>
      </c>
      <c r="E117" s="143">
        <v>97</v>
      </c>
      <c r="F117" s="144">
        <v>0</v>
      </c>
      <c r="G117" s="143" t="s">
        <v>282</v>
      </c>
      <c r="H117" s="143" t="s">
        <v>362</v>
      </c>
      <c r="I117" s="144"/>
      <c r="J117" s="147">
        <f>J118</f>
        <v>35</v>
      </c>
      <c r="K117" s="147">
        <f t="shared" ref="K117:L119" si="15">K118</f>
        <v>35</v>
      </c>
      <c r="L117" s="147">
        <f t="shared" si="15"/>
        <v>35</v>
      </c>
    </row>
    <row r="118" spans="1:12" s="7" customFormat="1" ht="31.5">
      <c r="A118" s="148" t="s">
        <v>50</v>
      </c>
      <c r="B118" s="144">
        <v>871</v>
      </c>
      <c r="C118" s="143" t="s">
        <v>10</v>
      </c>
      <c r="D118" s="143" t="s">
        <v>22</v>
      </c>
      <c r="E118" s="143">
        <v>97</v>
      </c>
      <c r="F118" s="144">
        <v>2</v>
      </c>
      <c r="G118" s="143" t="s">
        <v>282</v>
      </c>
      <c r="H118" s="143" t="s">
        <v>362</v>
      </c>
      <c r="I118" s="144"/>
      <c r="J118" s="147">
        <f>J119</f>
        <v>35</v>
      </c>
      <c r="K118" s="147">
        <f t="shared" si="15"/>
        <v>35</v>
      </c>
      <c r="L118" s="147">
        <f t="shared" si="15"/>
        <v>35</v>
      </c>
    </row>
    <row r="119" spans="1:12" s="7" customFormat="1" ht="31.5">
      <c r="A119" s="148" t="s">
        <v>311</v>
      </c>
      <c r="B119" s="144">
        <v>871</v>
      </c>
      <c r="C119" s="143" t="s">
        <v>10</v>
      </c>
      <c r="D119" s="143" t="s">
        <v>22</v>
      </c>
      <c r="E119" s="143" t="s">
        <v>57</v>
      </c>
      <c r="F119" s="144">
        <v>2</v>
      </c>
      <c r="G119" s="143" t="s">
        <v>282</v>
      </c>
      <c r="H119" s="143" t="s">
        <v>312</v>
      </c>
      <c r="I119" s="144"/>
      <c r="J119" s="147">
        <f>J120</f>
        <v>35</v>
      </c>
      <c r="K119" s="147">
        <f t="shared" si="15"/>
        <v>35</v>
      </c>
      <c r="L119" s="147">
        <f t="shared" si="15"/>
        <v>35</v>
      </c>
    </row>
    <row r="120" spans="1:12" s="7" customFormat="1" ht="15.75">
      <c r="A120" s="151" t="s">
        <v>35</v>
      </c>
      <c r="B120" s="144">
        <v>871</v>
      </c>
      <c r="C120" s="143" t="s">
        <v>10</v>
      </c>
      <c r="D120" s="143" t="s">
        <v>22</v>
      </c>
      <c r="E120" s="143" t="s">
        <v>57</v>
      </c>
      <c r="F120" s="144">
        <v>2</v>
      </c>
      <c r="G120" s="143" t="s">
        <v>282</v>
      </c>
      <c r="H120" s="143" t="s">
        <v>312</v>
      </c>
      <c r="I120" s="144">
        <v>540</v>
      </c>
      <c r="J120" s="147">
        <f>35</f>
        <v>35</v>
      </c>
      <c r="K120" s="147">
        <f>J120</f>
        <v>35</v>
      </c>
      <c r="L120" s="147">
        <v>35</v>
      </c>
    </row>
    <row r="121" spans="1:12" s="7" customFormat="1" ht="15.75">
      <c r="A121" s="148" t="s">
        <v>370</v>
      </c>
      <c r="B121" s="144">
        <v>871</v>
      </c>
      <c r="C121" s="143" t="s">
        <v>10</v>
      </c>
      <c r="D121" s="143" t="s">
        <v>33</v>
      </c>
      <c r="E121" s="143"/>
      <c r="F121" s="144"/>
      <c r="G121" s="143"/>
      <c r="H121" s="143"/>
      <c r="I121" s="144"/>
      <c r="J121" s="147">
        <f>J122</f>
        <v>533</v>
      </c>
      <c r="K121" s="147">
        <f t="shared" ref="K121:L123" si="16">K122</f>
        <v>533</v>
      </c>
      <c r="L121" s="147">
        <f t="shared" si="16"/>
        <v>447.4</v>
      </c>
    </row>
    <row r="122" spans="1:12" s="7" customFormat="1" ht="47.25">
      <c r="A122" s="148" t="s">
        <v>367</v>
      </c>
      <c r="B122" s="144">
        <v>871</v>
      </c>
      <c r="C122" s="143" t="s">
        <v>10</v>
      </c>
      <c r="D122" s="143" t="s">
        <v>33</v>
      </c>
      <c r="E122" s="143" t="s">
        <v>11</v>
      </c>
      <c r="F122" s="144">
        <v>0</v>
      </c>
      <c r="G122" s="143" t="s">
        <v>282</v>
      </c>
      <c r="H122" s="143" t="s">
        <v>362</v>
      </c>
      <c r="I122" s="144"/>
      <c r="J122" s="147">
        <f>J123</f>
        <v>533</v>
      </c>
      <c r="K122" s="147">
        <f t="shared" si="16"/>
        <v>533</v>
      </c>
      <c r="L122" s="147">
        <f t="shared" si="16"/>
        <v>447.4</v>
      </c>
    </row>
    <row r="123" spans="1:12" ht="15.75">
      <c r="A123" s="148" t="s">
        <v>309</v>
      </c>
      <c r="B123" s="144">
        <v>871</v>
      </c>
      <c r="C123" s="143" t="s">
        <v>10</v>
      </c>
      <c r="D123" s="143" t="s">
        <v>33</v>
      </c>
      <c r="E123" s="143" t="s">
        <v>11</v>
      </c>
      <c r="F123" s="144">
        <v>4</v>
      </c>
      <c r="G123" s="143" t="s">
        <v>282</v>
      </c>
      <c r="H123" s="143" t="s">
        <v>362</v>
      </c>
      <c r="I123" s="144"/>
      <c r="J123" s="147">
        <f>J124</f>
        <v>533</v>
      </c>
      <c r="K123" s="147">
        <f t="shared" si="16"/>
        <v>533</v>
      </c>
      <c r="L123" s="147">
        <f t="shared" si="16"/>
        <v>447.4</v>
      </c>
    </row>
    <row r="124" spans="1:12" ht="15.75">
      <c r="A124" s="148" t="s">
        <v>309</v>
      </c>
      <c r="B124" s="144">
        <v>871</v>
      </c>
      <c r="C124" s="143" t="s">
        <v>10</v>
      </c>
      <c r="D124" s="143" t="s">
        <v>33</v>
      </c>
      <c r="E124" s="143" t="s">
        <v>11</v>
      </c>
      <c r="F124" s="144">
        <v>4</v>
      </c>
      <c r="G124" s="143" t="s">
        <v>282</v>
      </c>
      <c r="H124" s="143" t="s">
        <v>310</v>
      </c>
      <c r="I124" s="144"/>
      <c r="J124" s="147">
        <f>J125</f>
        <v>533</v>
      </c>
      <c r="K124" s="147">
        <f>K125</f>
        <v>533</v>
      </c>
      <c r="L124" s="147">
        <f>L125</f>
        <v>447.4</v>
      </c>
    </row>
    <row r="125" spans="1:12" ht="15.75">
      <c r="A125" s="148" t="s">
        <v>127</v>
      </c>
      <c r="B125" s="144">
        <v>871</v>
      </c>
      <c r="C125" s="143" t="s">
        <v>10</v>
      </c>
      <c r="D125" s="143" t="s">
        <v>33</v>
      </c>
      <c r="E125" s="143" t="s">
        <v>11</v>
      </c>
      <c r="F125" s="144">
        <v>4</v>
      </c>
      <c r="G125" s="143" t="s">
        <v>282</v>
      </c>
      <c r="H125" s="143" t="s">
        <v>310</v>
      </c>
      <c r="I125" s="144">
        <v>240</v>
      </c>
      <c r="J125" s="147">
        <f>120+200+200+13</f>
        <v>533</v>
      </c>
      <c r="K125" s="147">
        <f>120+200+200+13</f>
        <v>533</v>
      </c>
      <c r="L125" s="147">
        <v>447.4</v>
      </c>
    </row>
    <row r="126" spans="1:12" ht="15.75">
      <c r="A126" s="152" t="s">
        <v>250</v>
      </c>
      <c r="B126" s="144">
        <v>871</v>
      </c>
      <c r="C126" s="143" t="s">
        <v>13</v>
      </c>
      <c r="D126" s="144" t="s">
        <v>7</v>
      </c>
      <c r="E126" s="143"/>
      <c r="F126" s="144"/>
      <c r="G126" s="143"/>
      <c r="H126" s="143"/>
      <c r="I126" s="144"/>
      <c r="J126" s="147">
        <f>J127+J142+J147</f>
        <v>35575.599999999999</v>
      </c>
      <c r="K126" s="147">
        <f>K127+K142+K147</f>
        <v>35574.699999999997</v>
      </c>
      <c r="L126" s="147">
        <f>L127+L142+L147</f>
        <v>28204.300000000003</v>
      </c>
    </row>
    <row r="127" spans="1:12" ht="15.75">
      <c r="A127" s="146" t="s">
        <v>38</v>
      </c>
      <c r="B127" s="143" t="s">
        <v>21</v>
      </c>
      <c r="C127" s="143" t="s">
        <v>13</v>
      </c>
      <c r="D127" s="143" t="s">
        <v>22</v>
      </c>
      <c r="E127" s="143"/>
      <c r="F127" s="144"/>
      <c r="G127" s="143"/>
      <c r="H127" s="143"/>
      <c r="I127" s="144"/>
      <c r="J127" s="147">
        <f t="shared" ref="J127:L128" si="17">J128</f>
        <v>35471.299999999996</v>
      </c>
      <c r="K127" s="147">
        <f t="shared" si="17"/>
        <v>35471.299999999996</v>
      </c>
      <c r="L127" s="147">
        <f t="shared" si="17"/>
        <v>28100.9</v>
      </c>
    </row>
    <row r="128" spans="1:12" ht="31.5">
      <c r="A128" s="146" t="s">
        <v>470</v>
      </c>
      <c r="B128" s="143" t="s">
        <v>21</v>
      </c>
      <c r="C128" s="143" t="s">
        <v>13</v>
      </c>
      <c r="D128" s="143" t="s">
        <v>22</v>
      </c>
      <c r="E128" s="143" t="s">
        <v>10</v>
      </c>
      <c r="F128" s="144">
        <v>0</v>
      </c>
      <c r="G128" s="143" t="s">
        <v>282</v>
      </c>
      <c r="H128" s="143" t="s">
        <v>362</v>
      </c>
      <c r="I128" s="144"/>
      <c r="J128" s="147">
        <f t="shared" si="17"/>
        <v>35471.299999999996</v>
      </c>
      <c r="K128" s="147">
        <f t="shared" si="17"/>
        <v>35471.299999999996</v>
      </c>
      <c r="L128" s="147">
        <f t="shared" si="17"/>
        <v>28100.9</v>
      </c>
    </row>
    <row r="129" spans="1:12" ht="31.5">
      <c r="A129" s="148" t="s">
        <v>378</v>
      </c>
      <c r="B129" s="143" t="s">
        <v>21</v>
      </c>
      <c r="C129" s="143" t="s">
        <v>13</v>
      </c>
      <c r="D129" s="143" t="s">
        <v>22</v>
      </c>
      <c r="E129" s="143" t="s">
        <v>10</v>
      </c>
      <c r="F129" s="144">
        <v>1</v>
      </c>
      <c r="G129" s="143" t="s">
        <v>282</v>
      </c>
      <c r="H129" s="143" t="s">
        <v>362</v>
      </c>
      <c r="I129" s="144"/>
      <c r="J129" s="147">
        <f>J130+J132+J134+J138+J140+J136</f>
        <v>35471.299999999996</v>
      </c>
      <c r="K129" s="147">
        <f>K130+K132+K134+K138+K140+K136</f>
        <v>35471.299999999996</v>
      </c>
      <c r="L129" s="147">
        <f>L130+L132+L134+L138+L140+L136</f>
        <v>28100.9</v>
      </c>
    </row>
    <row r="130" spans="1:12" ht="15.75">
      <c r="A130" s="148" t="s">
        <v>58</v>
      </c>
      <c r="B130" s="143" t="s">
        <v>21</v>
      </c>
      <c r="C130" s="143" t="s">
        <v>13</v>
      </c>
      <c r="D130" s="143" t="s">
        <v>22</v>
      </c>
      <c r="E130" s="143" t="s">
        <v>10</v>
      </c>
      <c r="F130" s="144">
        <v>1</v>
      </c>
      <c r="G130" s="143" t="s">
        <v>282</v>
      </c>
      <c r="H130" s="143" t="s">
        <v>313</v>
      </c>
      <c r="I130" s="144"/>
      <c r="J130" s="147">
        <f>J131</f>
        <v>12680.199999999999</v>
      </c>
      <c r="K130" s="147">
        <f>K131</f>
        <v>12680.199999999999</v>
      </c>
      <c r="L130" s="147">
        <f>L131</f>
        <v>9804.6</v>
      </c>
    </row>
    <row r="131" spans="1:12" ht="15.75">
      <c r="A131" s="148" t="s">
        <v>127</v>
      </c>
      <c r="B131" s="143" t="s">
        <v>21</v>
      </c>
      <c r="C131" s="143" t="s">
        <v>13</v>
      </c>
      <c r="D131" s="143" t="s">
        <v>22</v>
      </c>
      <c r="E131" s="143" t="s">
        <v>10</v>
      </c>
      <c r="F131" s="144">
        <v>1</v>
      </c>
      <c r="G131" s="143" t="s">
        <v>282</v>
      </c>
      <c r="H131" s="143" t="s">
        <v>313</v>
      </c>
      <c r="I131" s="144">
        <v>240</v>
      </c>
      <c r="J131" s="147">
        <f>20500-15744.2+744.2+1694.6+5485.6</f>
        <v>12680.199999999999</v>
      </c>
      <c r="K131" s="147">
        <f>J131</f>
        <v>12680.199999999999</v>
      </c>
      <c r="L131" s="147">
        <v>9804.6</v>
      </c>
    </row>
    <row r="132" spans="1:12" ht="15.75">
      <c r="A132" s="148" t="s">
        <v>59</v>
      </c>
      <c r="B132" s="144">
        <v>871</v>
      </c>
      <c r="C132" s="143" t="s">
        <v>13</v>
      </c>
      <c r="D132" s="143" t="s">
        <v>22</v>
      </c>
      <c r="E132" s="143" t="s">
        <v>10</v>
      </c>
      <c r="F132" s="144">
        <v>1</v>
      </c>
      <c r="G132" s="143" t="s">
        <v>282</v>
      </c>
      <c r="H132" s="143" t="s">
        <v>314</v>
      </c>
      <c r="I132" s="144"/>
      <c r="J132" s="147">
        <f>J133</f>
        <v>1168.4000000000001</v>
      </c>
      <c r="K132" s="147">
        <f>K133</f>
        <v>1168.4000000000001</v>
      </c>
      <c r="L132" s="147">
        <f>L133</f>
        <v>1168.3</v>
      </c>
    </row>
    <row r="133" spans="1:12" ht="15.75">
      <c r="A133" s="148" t="s">
        <v>127</v>
      </c>
      <c r="B133" s="144">
        <v>871</v>
      </c>
      <c r="C133" s="143" t="s">
        <v>13</v>
      </c>
      <c r="D133" s="143" t="s">
        <v>22</v>
      </c>
      <c r="E133" s="143" t="s">
        <v>10</v>
      </c>
      <c r="F133" s="144">
        <v>1</v>
      </c>
      <c r="G133" s="143" t="s">
        <v>282</v>
      </c>
      <c r="H133" s="143" t="s">
        <v>314</v>
      </c>
      <c r="I133" s="144">
        <v>240</v>
      </c>
      <c r="J133" s="147">
        <f>1500-903.4+43.9+505.4+22.5</f>
        <v>1168.4000000000001</v>
      </c>
      <c r="K133" s="147">
        <f>J133</f>
        <v>1168.4000000000001</v>
      </c>
      <c r="L133" s="147">
        <v>1168.3</v>
      </c>
    </row>
    <row r="134" spans="1:12" ht="15.75">
      <c r="A134" s="148" t="s">
        <v>96</v>
      </c>
      <c r="B134" s="144">
        <v>871</v>
      </c>
      <c r="C134" s="143" t="s">
        <v>13</v>
      </c>
      <c r="D134" s="143" t="s">
        <v>22</v>
      </c>
      <c r="E134" s="143" t="s">
        <v>10</v>
      </c>
      <c r="F134" s="144">
        <v>1</v>
      </c>
      <c r="G134" s="143" t="s">
        <v>282</v>
      </c>
      <c r="H134" s="143" t="s">
        <v>315</v>
      </c>
      <c r="I134" s="144"/>
      <c r="J134" s="147">
        <f>J135</f>
        <v>28</v>
      </c>
      <c r="K134" s="147">
        <f>K135</f>
        <v>28</v>
      </c>
      <c r="L134" s="147">
        <f>L135</f>
        <v>28</v>
      </c>
    </row>
    <row r="135" spans="1:12" ht="15.75">
      <c r="A135" s="148" t="s">
        <v>127</v>
      </c>
      <c r="B135" s="144">
        <v>871</v>
      </c>
      <c r="C135" s="143" t="s">
        <v>13</v>
      </c>
      <c r="D135" s="143" t="s">
        <v>22</v>
      </c>
      <c r="E135" s="143" t="s">
        <v>10</v>
      </c>
      <c r="F135" s="144">
        <v>1</v>
      </c>
      <c r="G135" s="143" t="s">
        <v>282</v>
      </c>
      <c r="H135" s="143" t="s">
        <v>315</v>
      </c>
      <c r="I135" s="144">
        <v>240</v>
      </c>
      <c r="J135" s="147">
        <f>50-22</f>
        <v>28</v>
      </c>
      <c r="K135" s="147">
        <f>J135</f>
        <v>28</v>
      </c>
      <c r="L135" s="147">
        <v>28</v>
      </c>
    </row>
    <row r="136" spans="1:12" ht="15.75">
      <c r="A136" s="148" t="s">
        <v>126</v>
      </c>
      <c r="B136" s="144">
        <v>871</v>
      </c>
      <c r="C136" s="143" t="s">
        <v>13</v>
      </c>
      <c r="D136" s="143" t="s">
        <v>22</v>
      </c>
      <c r="E136" s="143" t="s">
        <v>10</v>
      </c>
      <c r="F136" s="144">
        <v>1</v>
      </c>
      <c r="G136" s="143" t="s">
        <v>282</v>
      </c>
      <c r="H136" s="143" t="s">
        <v>316</v>
      </c>
      <c r="I136" s="144"/>
      <c r="J136" s="147">
        <f>J137</f>
        <v>5855.1</v>
      </c>
      <c r="K136" s="147">
        <f>K137</f>
        <v>5855.1</v>
      </c>
      <c r="L136" s="147">
        <f>L137</f>
        <v>2808.8</v>
      </c>
    </row>
    <row r="137" spans="1:12" ht="15.75">
      <c r="A137" s="148" t="s">
        <v>127</v>
      </c>
      <c r="B137" s="144">
        <v>871</v>
      </c>
      <c r="C137" s="143" t="s">
        <v>13</v>
      </c>
      <c r="D137" s="143" t="s">
        <v>22</v>
      </c>
      <c r="E137" s="143" t="s">
        <v>10</v>
      </c>
      <c r="F137" s="144">
        <v>1</v>
      </c>
      <c r="G137" s="143" t="s">
        <v>282</v>
      </c>
      <c r="H137" s="143" t="s">
        <v>316</v>
      </c>
      <c r="I137" s="144">
        <v>240</v>
      </c>
      <c r="J137" s="147">
        <f>6600-744.9</f>
        <v>5855.1</v>
      </c>
      <c r="K137" s="147">
        <f>J137</f>
        <v>5855.1</v>
      </c>
      <c r="L137" s="147">
        <v>2808.8</v>
      </c>
    </row>
    <row r="138" spans="1:12" ht="15.75">
      <c r="A138" s="148" t="s">
        <v>537</v>
      </c>
      <c r="B138" s="144">
        <v>871</v>
      </c>
      <c r="C138" s="143" t="s">
        <v>13</v>
      </c>
      <c r="D138" s="143" t="s">
        <v>22</v>
      </c>
      <c r="E138" s="143" t="s">
        <v>10</v>
      </c>
      <c r="F138" s="144">
        <v>1</v>
      </c>
      <c r="G138" s="143" t="s">
        <v>282</v>
      </c>
      <c r="H138" s="143" t="s">
        <v>538</v>
      </c>
      <c r="I138" s="144"/>
      <c r="J138" s="147">
        <f>J139</f>
        <v>13532.8</v>
      </c>
      <c r="K138" s="147">
        <f>K139</f>
        <v>13532.8</v>
      </c>
      <c r="L138" s="147">
        <f>L139</f>
        <v>12615</v>
      </c>
    </row>
    <row r="139" spans="1:12" ht="15.75">
      <c r="A139" s="148" t="s">
        <v>373</v>
      </c>
      <c r="B139" s="144">
        <v>871</v>
      </c>
      <c r="C139" s="143" t="s">
        <v>13</v>
      </c>
      <c r="D139" s="143" t="s">
        <v>22</v>
      </c>
      <c r="E139" s="143" t="s">
        <v>10</v>
      </c>
      <c r="F139" s="144">
        <v>1</v>
      </c>
      <c r="G139" s="143" t="s">
        <v>282</v>
      </c>
      <c r="H139" s="143" t="s">
        <v>538</v>
      </c>
      <c r="I139" s="144">
        <v>410</v>
      </c>
      <c r="J139" s="147">
        <f>22340.7-5485.6-3480.5-13.1+188.6-17.3</f>
        <v>13532.8</v>
      </c>
      <c r="K139" s="147">
        <f>J139</f>
        <v>13532.8</v>
      </c>
      <c r="L139" s="147">
        <v>12615</v>
      </c>
    </row>
    <row r="140" spans="1:12" ht="15.75">
      <c r="A140" s="148" t="s">
        <v>86</v>
      </c>
      <c r="B140" s="144">
        <v>871</v>
      </c>
      <c r="C140" s="143" t="s">
        <v>13</v>
      </c>
      <c r="D140" s="143" t="s">
        <v>22</v>
      </c>
      <c r="E140" s="143" t="s">
        <v>10</v>
      </c>
      <c r="F140" s="144">
        <v>1</v>
      </c>
      <c r="G140" s="143" t="s">
        <v>282</v>
      </c>
      <c r="H140" s="143" t="s">
        <v>317</v>
      </c>
      <c r="I140" s="144"/>
      <c r="J140" s="147">
        <f>J141</f>
        <v>2206.8000000000002</v>
      </c>
      <c r="K140" s="147">
        <f>K141</f>
        <v>2206.8000000000002</v>
      </c>
      <c r="L140" s="147">
        <f>L141</f>
        <v>1676.2</v>
      </c>
    </row>
    <row r="141" spans="1:12" ht="15.75">
      <c r="A141" s="148" t="s">
        <v>127</v>
      </c>
      <c r="B141" s="144">
        <v>871</v>
      </c>
      <c r="C141" s="143" t="s">
        <v>13</v>
      </c>
      <c r="D141" s="143" t="s">
        <v>22</v>
      </c>
      <c r="E141" s="143" t="s">
        <v>10</v>
      </c>
      <c r="F141" s="144">
        <v>1</v>
      </c>
      <c r="G141" s="143" t="s">
        <v>282</v>
      </c>
      <c r="H141" s="143" t="s">
        <v>317</v>
      </c>
      <c r="I141" s="144">
        <v>240</v>
      </c>
      <c r="J141" s="147">
        <f>2206.8</f>
        <v>2206.8000000000002</v>
      </c>
      <c r="K141" s="147">
        <f>J141</f>
        <v>2206.8000000000002</v>
      </c>
      <c r="L141" s="147">
        <v>1676.2</v>
      </c>
    </row>
    <row r="142" spans="1:12" ht="15.75">
      <c r="A142" s="148" t="s">
        <v>412</v>
      </c>
      <c r="B142" s="144">
        <v>871</v>
      </c>
      <c r="C142" s="143" t="s">
        <v>13</v>
      </c>
      <c r="D142" s="143" t="s">
        <v>33</v>
      </c>
      <c r="E142" s="143"/>
      <c r="F142" s="143"/>
      <c r="G142" s="143"/>
      <c r="H142" s="143"/>
      <c r="I142" s="144" t="s">
        <v>6</v>
      </c>
      <c r="J142" s="147">
        <f>J143</f>
        <v>74.3</v>
      </c>
      <c r="K142" s="147">
        <f t="shared" ref="K142:L145" si="18">K143</f>
        <v>73.400000000000006</v>
      </c>
      <c r="L142" s="147">
        <f t="shared" si="18"/>
        <v>73.400000000000006</v>
      </c>
    </row>
    <row r="143" spans="1:12" ht="15.75">
      <c r="A143" s="148" t="s">
        <v>54</v>
      </c>
      <c r="B143" s="144">
        <v>871</v>
      </c>
      <c r="C143" s="143" t="s">
        <v>13</v>
      </c>
      <c r="D143" s="143" t="s">
        <v>33</v>
      </c>
      <c r="E143" s="143" t="s">
        <v>42</v>
      </c>
      <c r="F143" s="144">
        <v>0</v>
      </c>
      <c r="G143" s="143" t="s">
        <v>282</v>
      </c>
      <c r="H143" s="143" t="s">
        <v>362</v>
      </c>
      <c r="I143" s="144"/>
      <c r="J143" s="147">
        <f>J144</f>
        <v>74.3</v>
      </c>
      <c r="K143" s="147">
        <f t="shared" si="18"/>
        <v>73.400000000000006</v>
      </c>
      <c r="L143" s="147">
        <f t="shared" si="18"/>
        <v>73.400000000000006</v>
      </c>
    </row>
    <row r="144" spans="1:12" ht="15.75">
      <c r="A144" s="148" t="s">
        <v>55</v>
      </c>
      <c r="B144" s="143" t="s">
        <v>21</v>
      </c>
      <c r="C144" s="143" t="s">
        <v>13</v>
      </c>
      <c r="D144" s="143" t="s">
        <v>33</v>
      </c>
      <c r="E144" s="143" t="s">
        <v>42</v>
      </c>
      <c r="F144" s="144">
        <v>9</v>
      </c>
      <c r="G144" s="143" t="s">
        <v>282</v>
      </c>
      <c r="H144" s="143" t="s">
        <v>362</v>
      </c>
      <c r="I144" s="144"/>
      <c r="J144" s="147">
        <f>J145</f>
        <v>74.3</v>
      </c>
      <c r="K144" s="147">
        <f t="shared" si="18"/>
        <v>73.400000000000006</v>
      </c>
      <c r="L144" s="147">
        <f t="shared" si="18"/>
        <v>73.400000000000006</v>
      </c>
    </row>
    <row r="145" spans="1:12" ht="15.75">
      <c r="A145" s="148" t="s">
        <v>413</v>
      </c>
      <c r="B145" s="143" t="s">
        <v>21</v>
      </c>
      <c r="C145" s="143" t="s">
        <v>13</v>
      </c>
      <c r="D145" s="143" t="s">
        <v>33</v>
      </c>
      <c r="E145" s="143" t="s">
        <v>42</v>
      </c>
      <c r="F145" s="144">
        <v>9</v>
      </c>
      <c r="G145" s="143" t="s">
        <v>282</v>
      </c>
      <c r="H145" s="143" t="s">
        <v>414</v>
      </c>
      <c r="I145" s="144"/>
      <c r="J145" s="147">
        <f>J146</f>
        <v>74.3</v>
      </c>
      <c r="K145" s="147">
        <f t="shared" si="18"/>
        <v>73.400000000000006</v>
      </c>
      <c r="L145" s="147">
        <f t="shared" si="18"/>
        <v>73.400000000000006</v>
      </c>
    </row>
    <row r="146" spans="1:12" ht="15.75">
      <c r="A146" s="148" t="s">
        <v>127</v>
      </c>
      <c r="B146" s="143" t="s">
        <v>21</v>
      </c>
      <c r="C146" s="143" t="s">
        <v>13</v>
      </c>
      <c r="D146" s="143" t="s">
        <v>33</v>
      </c>
      <c r="E146" s="143" t="s">
        <v>42</v>
      </c>
      <c r="F146" s="144">
        <v>9</v>
      </c>
      <c r="G146" s="143" t="s">
        <v>282</v>
      </c>
      <c r="H146" s="143" t="s">
        <v>414</v>
      </c>
      <c r="I146" s="144">
        <v>240</v>
      </c>
      <c r="J146" s="147">
        <f>74.3</f>
        <v>74.3</v>
      </c>
      <c r="K146" s="147">
        <v>73.400000000000006</v>
      </c>
      <c r="L146" s="147">
        <v>73.400000000000006</v>
      </c>
    </row>
    <row r="147" spans="1:12" ht="15.75">
      <c r="A147" s="146" t="s">
        <v>39</v>
      </c>
      <c r="B147" s="144">
        <v>871</v>
      </c>
      <c r="C147" s="143" t="s">
        <v>13</v>
      </c>
      <c r="D147" s="143" t="s">
        <v>40</v>
      </c>
      <c r="E147" s="143"/>
      <c r="F147" s="143"/>
      <c r="G147" s="143"/>
      <c r="H147" s="143"/>
      <c r="I147" s="144" t="s">
        <v>6</v>
      </c>
      <c r="J147" s="145">
        <f t="shared" ref="J147:L149" si="19">J148</f>
        <v>30</v>
      </c>
      <c r="K147" s="145">
        <f t="shared" si="19"/>
        <v>30</v>
      </c>
      <c r="L147" s="145">
        <f t="shared" si="19"/>
        <v>30</v>
      </c>
    </row>
    <row r="148" spans="1:12" ht="31.5">
      <c r="A148" s="148" t="s">
        <v>471</v>
      </c>
      <c r="B148" s="144">
        <v>871</v>
      </c>
      <c r="C148" s="143" t="s">
        <v>13</v>
      </c>
      <c r="D148" s="143" t="s">
        <v>40</v>
      </c>
      <c r="E148" s="143" t="s">
        <v>13</v>
      </c>
      <c r="F148" s="144">
        <v>0</v>
      </c>
      <c r="G148" s="143" t="s">
        <v>282</v>
      </c>
      <c r="H148" s="143" t="s">
        <v>362</v>
      </c>
      <c r="I148" s="144"/>
      <c r="J148" s="147">
        <f t="shared" si="19"/>
        <v>30</v>
      </c>
      <c r="K148" s="147">
        <f t="shared" si="19"/>
        <v>30</v>
      </c>
      <c r="L148" s="147">
        <f t="shared" si="19"/>
        <v>30</v>
      </c>
    </row>
    <row r="149" spans="1:12" ht="15.75">
      <c r="A149" s="148" t="s">
        <v>104</v>
      </c>
      <c r="B149" s="143" t="s">
        <v>21</v>
      </c>
      <c r="C149" s="143" t="s">
        <v>13</v>
      </c>
      <c r="D149" s="143" t="s">
        <v>40</v>
      </c>
      <c r="E149" s="143" t="s">
        <v>13</v>
      </c>
      <c r="F149" s="144">
        <v>0</v>
      </c>
      <c r="G149" s="143" t="s">
        <v>282</v>
      </c>
      <c r="H149" s="143" t="s">
        <v>318</v>
      </c>
      <c r="I149" s="144"/>
      <c r="J149" s="147">
        <f t="shared" si="19"/>
        <v>30</v>
      </c>
      <c r="K149" s="147">
        <f t="shared" si="19"/>
        <v>30</v>
      </c>
      <c r="L149" s="147">
        <f t="shared" si="19"/>
        <v>30</v>
      </c>
    </row>
    <row r="150" spans="1:12" ht="31.5">
      <c r="A150" s="148" t="s">
        <v>415</v>
      </c>
      <c r="B150" s="143" t="s">
        <v>21</v>
      </c>
      <c r="C150" s="143" t="s">
        <v>13</v>
      </c>
      <c r="D150" s="143" t="s">
        <v>40</v>
      </c>
      <c r="E150" s="143" t="s">
        <v>13</v>
      </c>
      <c r="F150" s="144">
        <v>0</v>
      </c>
      <c r="G150" s="143" t="s">
        <v>282</v>
      </c>
      <c r="H150" s="143" t="s">
        <v>318</v>
      </c>
      <c r="I150" s="144">
        <v>810</v>
      </c>
      <c r="J150" s="147">
        <f>30</f>
        <v>30</v>
      </c>
      <c r="K150" s="147">
        <f>J150</f>
        <v>30</v>
      </c>
      <c r="L150" s="147">
        <v>30</v>
      </c>
    </row>
    <row r="151" spans="1:12" ht="15.75">
      <c r="A151" s="152" t="s">
        <v>416</v>
      </c>
      <c r="B151" s="143" t="s">
        <v>21</v>
      </c>
      <c r="C151" s="143" t="s">
        <v>14</v>
      </c>
      <c r="D151" s="144" t="s">
        <v>7</v>
      </c>
      <c r="E151" s="143"/>
      <c r="F151" s="144"/>
      <c r="G151" s="143"/>
      <c r="H151" s="143"/>
      <c r="I151" s="144"/>
      <c r="J151" s="147">
        <f>J152+J171+J176+J208</f>
        <v>67113.900000000009</v>
      </c>
      <c r="K151" s="147">
        <f>K152+K171+K176+K208</f>
        <v>67164</v>
      </c>
      <c r="L151" s="147">
        <f>L152+L171+L176+L208</f>
        <v>51096.600000000006</v>
      </c>
    </row>
    <row r="152" spans="1:12" ht="15.75">
      <c r="A152" s="146" t="s">
        <v>15</v>
      </c>
      <c r="B152" s="143" t="s">
        <v>21</v>
      </c>
      <c r="C152" s="143" t="s">
        <v>14</v>
      </c>
      <c r="D152" s="144" t="s">
        <v>9</v>
      </c>
      <c r="E152" s="143" t="s">
        <v>282</v>
      </c>
      <c r="F152" s="144">
        <v>0</v>
      </c>
      <c r="G152" s="143" t="s">
        <v>282</v>
      </c>
      <c r="H152" s="143" t="s">
        <v>362</v>
      </c>
      <c r="I152" s="144"/>
      <c r="J152" s="147">
        <f>J153+J167</f>
        <v>22161.8</v>
      </c>
      <c r="K152" s="147">
        <f>K153+K167</f>
        <v>22161.799999999996</v>
      </c>
      <c r="L152" s="147">
        <f>L153+L167</f>
        <v>11602.800000000001</v>
      </c>
    </row>
    <row r="153" spans="1:12" ht="31.5">
      <c r="A153" s="148" t="s">
        <v>372</v>
      </c>
      <c r="B153" s="143" t="s">
        <v>21</v>
      </c>
      <c r="C153" s="143" t="s">
        <v>14</v>
      </c>
      <c r="D153" s="143" t="s">
        <v>9</v>
      </c>
      <c r="E153" s="143" t="s">
        <v>14</v>
      </c>
      <c r="F153" s="144">
        <v>0</v>
      </c>
      <c r="G153" s="143" t="s">
        <v>282</v>
      </c>
      <c r="H153" s="143" t="s">
        <v>362</v>
      </c>
      <c r="I153" s="144"/>
      <c r="J153" s="147">
        <f>J154+J157+J163</f>
        <v>20881.899999999998</v>
      </c>
      <c r="K153" s="147">
        <f>K154+K157+K163</f>
        <v>20858.699999999997</v>
      </c>
      <c r="L153" s="147">
        <f>L154+L157+L163</f>
        <v>10299.700000000001</v>
      </c>
    </row>
    <row r="154" spans="1:12" ht="15.75">
      <c r="A154" s="148" t="s">
        <v>60</v>
      </c>
      <c r="B154" s="143" t="s">
        <v>21</v>
      </c>
      <c r="C154" s="143" t="s">
        <v>14</v>
      </c>
      <c r="D154" s="143" t="s">
        <v>9</v>
      </c>
      <c r="E154" s="143" t="s">
        <v>14</v>
      </c>
      <c r="F154" s="144">
        <v>1</v>
      </c>
      <c r="G154" s="143" t="s">
        <v>282</v>
      </c>
      <c r="H154" s="143" t="s">
        <v>362</v>
      </c>
      <c r="I154" s="144"/>
      <c r="J154" s="147">
        <f t="shared" ref="J154:L155" si="20">J155</f>
        <v>100</v>
      </c>
      <c r="K154" s="147">
        <f t="shared" si="20"/>
        <v>76.8</v>
      </c>
      <c r="L154" s="147">
        <f t="shared" si="20"/>
        <v>70.2</v>
      </c>
    </row>
    <row r="155" spans="1:12" ht="15.75">
      <c r="A155" s="148" t="s">
        <v>129</v>
      </c>
      <c r="B155" s="143" t="s">
        <v>21</v>
      </c>
      <c r="C155" s="143" t="s">
        <v>14</v>
      </c>
      <c r="D155" s="143" t="s">
        <v>9</v>
      </c>
      <c r="E155" s="143" t="s">
        <v>14</v>
      </c>
      <c r="F155" s="144">
        <v>1</v>
      </c>
      <c r="G155" s="143" t="s">
        <v>282</v>
      </c>
      <c r="H155" s="143" t="s">
        <v>319</v>
      </c>
      <c r="I155" s="144"/>
      <c r="J155" s="147">
        <f t="shared" si="20"/>
        <v>100</v>
      </c>
      <c r="K155" s="147">
        <f t="shared" si="20"/>
        <v>76.8</v>
      </c>
      <c r="L155" s="147">
        <f t="shared" si="20"/>
        <v>70.2</v>
      </c>
    </row>
    <row r="156" spans="1:12" ht="15.75">
      <c r="A156" s="148" t="s">
        <v>127</v>
      </c>
      <c r="B156" s="143" t="s">
        <v>21</v>
      </c>
      <c r="C156" s="143" t="s">
        <v>14</v>
      </c>
      <c r="D156" s="143" t="s">
        <v>9</v>
      </c>
      <c r="E156" s="143" t="s">
        <v>14</v>
      </c>
      <c r="F156" s="144">
        <v>1</v>
      </c>
      <c r="G156" s="143" t="s">
        <v>282</v>
      </c>
      <c r="H156" s="143" t="s">
        <v>319</v>
      </c>
      <c r="I156" s="144">
        <v>240</v>
      </c>
      <c r="J156" s="147">
        <f>100</f>
        <v>100</v>
      </c>
      <c r="K156" s="147">
        <v>76.8</v>
      </c>
      <c r="L156" s="147">
        <v>70.2</v>
      </c>
    </row>
    <row r="157" spans="1:12" ht="15.75">
      <c r="A157" s="148" t="s">
        <v>539</v>
      </c>
      <c r="B157" s="143" t="s">
        <v>21</v>
      </c>
      <c r="C157" s="143" t="s">
        <v>14</v>
      </c>
      <c r="D157" s="143" t="s">
        <v>9</v>
      </c>
      <c r="E157" s="143" t="s">
        <v>14</v>
      </c>
      <c r="F157" s="144">
        <v>5</v>
      </c>
      <c r="G157" s="143" t="s">
        <v>282</v>
      </c>
      <c r="H157" s="143" t="s">
        <v>362</v>
      </c>
      <c r="I157" s="144"/>
      <c r="J157" s="147">
        <f>J158+J161</f>
        <v>2536.3000000000002</v>
      </c>
      <c r="K157" s="147">
        <f>K158+K161</f>
        <v>2536.3000000000002</v>
      </c>
      <c r="L157" s="147">
        <f>L158+L161</f>
        <v>2515.1</v>
      </c>
    </row>
    <row r="158" spans="1:12" ht="15.75">
      <c r="A158" s="148" t="s">
        <v>540</v>
      </c>
      <c r="B158" s="143" t="s">
        <v>21</v>
      </c>
      <c r="C158" s="143" t="s">
        <v>14</v>
      </c>
      <c r="D158" s="143" t="s">
        <v>9</v>
      </c>
      <c r="E158" s="143" t="s">
        <v>14</v>
      </c>
      <c r="F158" s="144">
        <v>5</v>
      </c>
      <c r="G158" s="143" t="s">
        <v>282</v>
      </c>
      <c r="H158" s="143" t="s">
        <v>541</v>
      </c>
      <c r="I158" s="144"/>
      <c r="J158" s="147">
        <f>SUM(J159:J160)</f>
        <v>997.9</v>
      </c>
      <c r="K158" s="147">
        <f>SUM(K159:K160)</f>
        <v>998.9</v>
      </c>
      <c r="L158" s="147">
        <f>SUM(L159:L160)</f>
        <v>977.69999999999993</v>
      </c>
    </row>
    <row r="159" spans="1:12" ht="15.75">
      <c r="A159" s="148" t="s">
        <v>127</v>
      </c>
      <c r="B159" s="143" t="s">
        <v>21</v>
      </c>
      <c r="C159" s="143" t="s">
        <v>14</v>
      </c>
      <c r="D159" s="143" t="s">
        <v>9</v>
      </c>
      <c r="E159" s="143" t="s">
        <v>14</v>
      </c>
      <c r="F159" s="144">
        <v>5</v>
      </c>
      <c r="G159" s="143" t="s">
        <v>282</v>
      </c>
      <c r="H159" s="143" t="s">
        <v>541</v>
      </c>
      <c r="I159" s="144">
        <v>240</v>
      </c>
      <c r="J159" s="147">
        <f>866.9+131</f>
        <v>997.9</v>
      </c>
      <c r="K159" s="147">
        <v>991.4</v>
      </c>
      <c r="L159" s="147">
        <v>970.3</v>
      </c>
    </row>
    <row r="160" spans="1:12" ht="15.75">
      <c r="A160" s="146" t="s">
        <v>107</v>
      </c>
      <c r="B160" s="143" t="s">
        <v>21</v>
      </c>
      <c r="C160" s="143" t="s">
        <v>14</v>
      </c>
      <c r="D160" s="143" t="s">
        <v>9</v>
      </c>
      <c r="E160" s="143" t="s">
        <v>14</v>
      </c>
      <c r="F160" s="144">
        <v>5</v>
      </c>
      <c r="G160" s="143" t="s">
        <v>282</v>
      </c>
      <c r="H160" s="143" t="s">
        <v>541</v>
      </c>
      <c r="I160" s="144">
        <v>850</v>
      </c>
      <c r="J160" s="147">
        <v>0</v>
      </c>
      <c r="K160" s="147">
        <v>7.5</v>
      </c>
      <c r="L160" s="147">
        <v>7.4</v>
      </c>
    </row>
    <row r="161" spans="1:12" ht="31.5">
      <c r="A161" s="148" t="s">
        <v>542</v>
      </c>
      <c r="B161" s="143" t="s">
        <v>21</v>
      </c>
      <c r="C161" s="143" t="s">
        <v>14</v>
      </c>
      <c r="D161" s="143" t="s">
        <v>9</v>
      </c>
      <c r="E161" s="143" t="s">
        <v>14</v>
      </c>
      <c r="F161" s="144">
        <v>5</v>
      </c>
      <c r="G161" s="143" t="s">
        <v>282</v>
      </c>
      <c r="H161" s="143" t="s">
        <v>543</v>
      </c>
      <c r="I161" s="144"/>
      <c r="J161" s="147">
        <f>J162</f>
        <v>1538.4</v>
      </c>
      <c r="K161" s="147">
        <f>K162</f>
        <v>1537.4</v>
      </c>
      <c r="L161" s="147">
        <f>L162</f>
        <v>1537.4</v>
      </c>
    </row>
    <row r="162" spans="1:12" ht="31.5">
      <c r="A162" s="148" t="s">
        <v>127</v>
      </c>
      <c r="B162" s="143" t="s">
        <v>21</v>
      </c>
      <c r="C162" s="143" t="s">
        <v>14</v>
      </c>
      <c r="D162" s="143" t="s">
        <v>9</v>
      </c>
      <c r="E162" s="143" t="s">
        <v>14</v>
      </c>
      <c r="F162" s="144">
        <v>5</v>
      </c>
      <c r="G162" s="143" t="s">
        <v>282</v>
      </c>
      <c r="H162" s="143" t="s">
        <v>543</v>
      </c>
      <c r="I162" s="144">
        <v>240</v>
      </c>
      <c r="J162" s="147">
        <f>1673.7-135.3</f>
        <v>1538.4</v>
      </c>
      <c r="K162" s="147">
        <v>1537.4</v>
      </c>
      <c r="L162" s="147">
        <v>1537.4</v>
      </c>
    </row>
    <row r="163" spans="1:12" ht="31.5">
      <c r="A163" s="148" t="s">
        <v>320</v>
      </c>
      <c r="B163" s="143" t="s">
        <v>21</v>
      </c>
      <c r="C163" s="143" t="s">
        <v>14</v>
      </c>
      <c r="D163" s="143" t="s">
        <v>9</v>
      </c>
      <c r="E163" s="143" t="s">
        <v>14</v>
      </c>
      <c r="F163" s="144">
        <v>6</v>
      </c>
      <c r="G163" s="143" t="s">
        <v>282</v>
      </c>
      <c r="H163" s="143" t="s">
        <v>362</v>
      </c>
      <c r="I163" s="144"/>
      <c r="J163" s="147">
        <f>J164</f>
        <v>18245.599999999999</v>
      </c>
      <c r="K163" s="147">
        <f>K164</f>
        <v>18245.599999999999</v>
      </c>
      <c r="L163" s="147">
        <f>L164</f>
        <v>7714.4000000000005</v>
      </c>
    </row>
    <row r="164" spans="1:12" ht="15.75">
      <c r="A164" s="148" t="s">
        <v>124</v>
      </c>
      <c r="B164" s="143" t="s">
        <v>21</v>
      </c>
      <c r="C164" s="143" t="s">
        <v>14</v>
      </c>
      <c r="D164" s="143" t="s">
        <v>9</v>
      </c>
      <c r="E164" s="143" t="s">
        <v>14</v>
      </c>
      <c r="F164" s="144">
        <v>6</v>
      </c>
      <c r="G164" s="143" t="s">
        <v>282</v>
      </c>
      <c r="H164" s="143" t="s">
        <v>321</v>
      </c>
      <c r="I164" s="144"/>
      <c r="J164" s="147">
        <f>SUM(J165:J166)</f>
        <v>18245.599999999999</v>
      </c>
      <c r="K164" s="147">
        <f>SUM(K165:K166)</f>
        <v>18245.599999999999</v>
      </c>
      <c r="L164" s="147">
        <f>SUM(L165:L166)</f>
        <v>7714.4000000000005</v>
      </c>
    </row>
    <row r="165" spans="1:12" ht="15.75">
      <c r="A165" s="148" t="s">
        <v>373</v>
      </c>
      <c r="B165" s="143" t="s">
        <v>21</v>
      </c>
      <c r="C165" s="143" t="s">
        <v>14</v>
      </c>
      <c r="D165" s="143" t="s">
        <v>9</v>
      </c>
      <c r="E165" s="143" t="s">
        <v>14</v>
      </c>
      <c r="F165" s="144">
        <v>6</v>
      </c>
      <c r="G165" s="143" t="s">
        <v>282</v>
      </c>
      <c r="H165" s="143" t="s">
        <v>321</v>
      </c>
      <c r="I165" s="144">
        <v>410</v>
      </c>
      <c r="J165" s="147">
        <f>6410.5+11966.1-131</f>
        <v>18245.599999999999</v>
      </c>
      <c r="K165" s="147">
        <v>16738.8</v>
      </c>
      <c r="L165" s="147">
        <v>6207.6</v>
      </c>
    </row>
    <row r="166" spans="1:12" ht="15.75">
      <c r="A166" s="146" t="s">
        <v>107</v>
      </c>
      <c r="B166" s="143" t="s">
        <v>21</v>
      </c>
      <c r="C166" s="143" t="s">
        <v>14</v>
      </c>
      <c r="D166" s="143" t="s">
        <v>9</v>
      </c>
      <c r="E166" s="143" t="s">
        <v>14</v>
      </c>
      <c r="F166" s="144">
        <v>6</v>
      </c>
      <c r="G166" s="143" t="s">
        <v>282</v>
      </c>
      <c r="H166" s="143" t="s">
        <v>321</v>
      </c>
      <c r="I166" s="144">
        <v>850</v>
      </c>
      <c r="J166" s="147">
        <v>0</v>
      </c>
      <c r="K166" s="147">
        <v>1506.8</v>
      </c>
      <c r="L166" s="147">
        <v>1506.8</v>
      </c>
    </row>
    <row r="167" spans="1:12" ht="15.75">
      <c r="A167" s="148" t="s">
        <v>54</v>
      </c>
      <c r="B167" s="143" t="s">
        <v>21</v>
      </c>
      <c r="C167" s="143" t="s">
        <v>14</v>
      </c>
      <c r="D167" s="144" t="s">
        <v>9</v>
      </c>
      <c r="E167" s="143" t="s">
        <v>42</v>
      </c>
      <c r="F167" s="144">
        <v>0</v>
      </c>
      <c r="G167" s="143" t="s">
        <v>282</v>
      </c>
      <c r="H167" s="143" t="s">
        <v>362</v>
      </c>
      <c r="I167" s="144"/>
      <c r="J167" s="147">
        <f>J168</f>
        <v>1279.8999999999999</v>
      </c>
      <c r="K167" s="147">
        <f t="shared" ref="K167:L169" si="21">K168</f>
        <v>1303.0999999999999</v>
      </c>
      <c r="L167" s="147">
        <f t="shared" si="21"/>
        <v>1303.0999999999999</v>
      </c>
    </row>
    <row r="168" spans="1:12" ht="15.75">
      <c r="A168" s="148" t="s">
        <v>55</v>
      </c>
      <c r="B168" s="143" t="s">
        <v>21</v>
      </c>
      <c r="C168" s="143" t="s">
        <v>14</v>
      </c>
      <c r="D168" s="144" t="s">
        <v>9</v>
      </c>
      <c r="E168" s="143" t="s">
        <v>42</v>
      </c>
      <c r="F168" s="144">
        <v>9</v>
      </c>
      <c r="G168" s="143" t="s">
        <v>282</v>
      </c>
      <c r="H168" s="143" t="s">
        <v>362</v>
      </c>
      <c r="I168" s="144"/>
      <c r="J168" s="147">
        <f>J169</f>
        <v>1279.8999999999999</v>
      </c>
      <c r="K168" s="147">
        <f t="shared" si="21"/>
        <v>1303.0999999999999</v>
      </c>
      <c r="L168" s="147">
        <f t="shared" si="21"/>
        <v>1303.0999999999999</v>
      </c>
    </row>
    <row r="169" spans="1:12" ht="31.5">
      <c r="A169" s="148" t="s">
        <v>102</v>
      </c>
      <c r="B169" s="143" t="s">
        <v>21</v>
      </c>
      <c r="C169" s="143" t="s">
        <v>14</v>
      </c>
      <c r="D169" s="144" t="s">
        <v>9</v>
      </c>
      <c r="E169" s="143" t="s">
        <v>42</v>
      </c>
      <c r="F169" s="144">
        <v>9</v>
      </c>
      <c r="G169" s="143" t="s">
        <v>282</v>
      </c>
      <c r="H169" s="143" t="s">
        <v>322</v>
      </c>
      <c r="I169" s="144"/>
      <c r="J169" s="147">
        <f>J170</f>
        <v>1279.8999999999999</v>
      </c>
      <c r="K169" s="147">
        <f t="shared" si="21"/>
        <v>1303.0999999999999</v>
      </c>
      <c r="L169" s="147">
        <f t="shared" si="21"/>
        <v>1303.0999999999999</v>
      </c>
    </row>
    <row r="170" spans="1:12" ht="15.75">
      <c r="A170" s="148" t="s">
        <v>127</v>
      </c>
      <c r="B170" s="143" t="s">
        <v>21</v>
      </c>
      <c r="C170" s="143" t="s">
        <v>14</v>
      </c>
      <c r="D170" s="144" t="s">
        <v>9</v>
      </c>
      <c r="E170" s="143" t="s">
        <v>42</v>
      </c>
      <c r="F170" s="144">
        <v>9</v>
      </c>
      <c r="G170" s="143" t="s">
        <v>282</v>
      </c>
      <c r="H170" s="143" t="s">
        <v>322</v>
      </c>
      <c r="I170" s="144">
        <v>240</v>
      </c>
      <c r="J170" s="147">
        <f>1110.2+182.1-12.4</f>
        <v>1279.8999999999999</v>
      </c>
      <c r="K170" s="147">
        <v>1303.0999999999999</v>
      </c>
      <c r="L170" s="147">
        <v>1303.0999999999999</v>
      </c>
    </row>
    <row r="171" spans="1:12" ht="15.75">
      <c r="A171" s="146" t="s">
        <v>32</v>
      </c>
      <c r="B171" s="143" t="s">
        <v>21</v>
      </c>
      <c r="C171" s="143" t="s">
        <v>14</v>
      </c>
      <c r="D171" s="143" t="s">
        <v>11</v>
      </c>
      <c r="E171" s="143"/>
      <c r="F171" s="144"/>
      <c r="G171" s="143"/>
      <c r="H171" s="143"/>
      <c r="I171" s="154"/>
      <c r="J171" s="147">
        <f>J172</f>
        <v>0</v>
      </c>
      <c r="K171" s="147">
        <f t="shared" ref="K171:L174" si="22">K172</f>
        <v>50.1</v>
      </c>
      <c r="L171" s="147">
        <f t="shared" si="22"/>
        <v>50</v>
      </c>
    </row>
    <row r="172" spans="1:12" ht="15.75">
      <c r="A172" s="148" t="s">
        <v>0</v>
      </c>
      <c r="B172" s="143" t="s">
        <v>21</v>
      </c>
      <c r="C172" s="143" t="s">
        <v>14</v>
      </c>
      <c r="D172" s="143" t="s">
        <v>11</v>
      </c>
      <c r="E172" s="143" t="s">
        <v>417</v>
      </c>
      <c r="F172" s="144">
        <v>0</v>
      </c>
      <c r="G172" s="143" t="s">
        <v>282</v>
      </c>
      <c r="H172" s="143" t="s">
        <v>362</v>
      </c>
      <c r="I172" s="154"/>
      <c r="J172" s="147">
        <f>J173</f>
        <v>0</v>
      </c>
      <c r="K172" s="147">
        <f t="shared" si="22"/>
        <v>50.1</v>
      </c>
      <c r="L172" s="147">
        <f t="shared" si="22"/>
        <v>50</v>
      </c>
    </row>
    <row r="173" spans="1:12" ht="15.75">
      <c r="A173" s="146" t="s">
        <v>1</v>
      </c>
      <c r="B173" s="143" t="s">
        <v>21</v>
      </c>
      <c r="C173" s="143" t="s">
        <v>14</v>
      </c>
      <c r="D173" s="143" t="s">
        <v>11</v>
      </c>
      <c r="E173" s="143" t="s">
        <v>417</v>
      </c>
      <c r="F173" s="144">
        <v>1</v>
      </c>
      <c r="G173" s="143" t="s">
        <v>282</v>
      </c>
      <c r="H173" s="143" t="s">
        <v>362</v>
      </c>
      <c r="I173" s="154"/>
      <c r="J173" s="147">
        <f>J174</f>
        <v>0</v>
      </c>
      <c r="K173" s="147">
        <f t="shared" si="22"/>
        <v>50.1</v>
      </c>
      <c r="L173" s="147">
        <f t="shared" si="22"/>
        <v>50</v>
      </c>
    </row>
    <row r="174" spans="1:12" ht="15.75">
      <c r="A174" s="146" t="s">
        <v>1</v>
      </c>
      <c r="B174" s="143" t="s">
        <v>21</v>
      </c>
      <c r="C174" s="143" t="s">
        <v>14</v>
      </c>
      <c r="D174" s="143" t="s">
        <v>11</v>
      </c>
      <c r="E174" s="143" t="s">
        <v>417</v>
      </c>
      <c r="F174" s="144">
        <v>1</v>
      </c>
      <c r="G174" s="143" t="s">
        <v>282</v>
      </c>
      <c r="H174" s="155">
        <v>28810</v>
      </c>
      <c r="I174" s="154"/>
      <c r="J174" s="147">
        <f>J175</f>
        <v>0</v>
      </c>
      <c r="K174" s="147">
        <f t="shared" si="22"/>
        <v>50.1</v>
      </c>
      <c r="L174" s="147">
        <f t="shared" si="22"/>
        <v>50</v>
      </c>
    </row>
    <row r="175" spans="1:12" ht="15.75">
      <c r="A175" s="148" t="s">
        <v>127</v>
      </c>
      <c r="B175" s="143" t="s">
        <v>21</v>
      </c>
      <c r="C175" s="143" t="s">
        <v>14</v>
      </c>
      <c r="D175" s="143" t="s">
        <v>11</v>
      </c>
      <c r="E175" s="143" t="s">
        <v>417</v>
      </c>
      <c r="F175" s="144">
        <v>1</v>
      </c>
      <c r="G175" s="143" t="s">
        <v>282</v>
      </c>
      <c r="H175" s="155">
        <v>28810</v>
      </c>
      <c r="I175" s="155">
        <v>240</v>
      </c>
      <c r="J175" s="147"/>
      <c r="K175" s="147">
        <v>50.1</v>
      </c>
      <c r="L175" s="147">
        <v>50</v>
      </c>
    </row>
    <row r="176" spans="1:12" ht="15.75">
      <c r="A176" s="146" t="s">
        <v>3</v>
      </c>
      <c r="B176" s="143" t="s">
        <v>21</v>
      </c>
      <c r="C176" s="143" t="s">
        <v>14</v>
      </c>
      <c r="D176" s="144" t="s">
        <v>10</v>
      </c>
      <c r="E176" s="143" t="s">
        <v>8</v>
      </c>
      <c r="F176" s="144"/>
      <c r="G176" s="143"/>
      <c r="H176" s="143"/>
      <c r="I176" s="144"/>
      <c r="J176" s="145">
        <f>J177+J203</f>
        <v>26782</v>
      </c>
      <c r="K176" s="145">
        <f>K177+K203</f>
        <v>26782</v>
      </c>
      <c r="L176" s="145">
        <f>L177+L203</f>
        <v>23769</v>
      </c>
    </row>
    <row r="177" spans="1:12" ht="31.5">
      <c r="A177" s="146" t="s">
        <v>470</v>
      </c>
      <c r="B177" s="143" t="s">
        <v>21</v>
      </c>
      <c r="C177" s="143" t="s">
        <v>14</v>
      </c>
      <c r="D177" s="143" t="s">
        <v>10</v>
      </c>
      <c r="E177" s="143" t="s">
        <v>10</v>
      </c>
      <c r="F177" s="144">
        <v>0</v>
      </c>
      <c r="G177" s="143" t="s">
        <v>282</v>
      </c>
      <c r="H177" s="143" t="s">
        <v>362</v>
      </c>
      <c r="I177" s="144"/>
      <c r="J177" s="147">
        <f>J178+J186</f>
        <v>25183</v>
      </c>
      <c r="K177" s="147">
        <f>K178+K186</f>
        <v>25183</v>
      </c>
      <c r="L177" s="147">
        <f>L178+L186</f>
        <v>22241.1</v>
      </c>
    </row>
    <row r="178" spans="1:12" ht="15.75">
      <c r="A178" s="148" t="s">
        <v>62</v>
      </c>
      <c r="B178" s="143" t="s">
        <v>21</v>
      </c>
      <c r="C178" s="143" t="s">
        <v>14</v>
      </c>
      <c r="D178" s="143" t="s">
        <v>10</v>
      </c>
      <c r="E178" s="143" t="s">
        <v>10</v>
      </c>
      <c r="F178" s="144">
        <v>2</v>
      </c>
      <c r="G178" s="143" t="s">
        <v>282</v>
      </c>
      <c r="H178" s="143" t="s">
        <v>362</v>
      </c>
      <c r="I178" s="144"/>
      <c r="J178" s="147">
        <f>J179+J181+J184</f>
        <v>10651.300000000001</v>
      </c>
      <c r="K178" s="147">
        <f>K179+K181+K184</f>
        <v>10951.3</v>
      </c>
      <c r="L178" s="147">
        <f>L179+L181+L184</f>
        <v>9132.6999999999989</v>
      </c>
    </row>
    <row r="179" spans="1:12" ht="15.75">
      <c r="A179" s="148" t="s">
        <v>472</v>
      </c>
      <c r="B179" s="143" t="s">
        <v>21</v>
      </c>
      <c r="C179" s="143" t="s">
        <v>14</v>
      </c>
      <c r="D179" s="143" t="s">
        <v>10</v>
      </c>
      <c r="E179" s="143" t="s">
        <v>10</v>
      </c>
      <c r="F179" s="144">
        <v>2</v>
      </c>
      <c r="G179" s="143" t="s">
        <v>282</v>
      </c>
      <c r="H179" s="143" t="s">
        <v>473</v>
      </c>
      <c r="I179" s="144"/>
      <c r="J179" s="147">
        <f>J180</f>
        <v>866.59999999999991</v>
      </c>
      <c r="K179" s="147">
        <f>K180</f>
        <v>866.59999999999991</v>
      </c>
      <c r="L179" s="147">
        <f>L180</f>
        <v>701.2</v>
      </c>
    </row>
    <row r="180" spans="1:12" ht="15.75">
      <c r="A180" s="148" t="s">
        <v>373</v>
      </c>
      <c r="B180" s="143" t="s">
        <v>21</v>
      </c>
      <c r="C180" s="143" t="s">
        <v>14</v>
      </c>
      <c r="D180" s="143" t="s">
        <v>10</v>
      </c>
      <c r="E180" s="143" t="s">
        <v>10</v>
      </c>
      <c r="F180" s="144">
        <v>2</v>
      </c>
      <c r="G180" s="143" t="s">
        <v>282</v>
      </c>
      <c r="H180" s="143" t="s">
        <v>473</v>
      </c>
      <c r="I180" s="144">
        <v>410</v>
      </c>
      <c r="J180" s="147">
        <f>1476.6-610</f>
        <v>866.59999999999991</v>
      </c>
      <c r="K180" s="147">
        <f>1476.6-610</f>
        <v>866.59999999999991</v>
      </c>
      <c r="L180" s="147">
        <v>701.2</v>
      </c>
    </row>
    <row r="181" spans="1:12" ht="15.75">
      <c r="A181" s="148" t="s">
        <v>63</v>
      </c>
      <c r="B181" s="143" t="s">
        <v>21</v>
      </c>
      <c r="C181" s="143" t="s">
        <v>14</v>
      </c>
      <c r="D181" s="143" t="s">
        <v>10</v>
      </c>
      <c r="E181" s="143" t="s">
        <v>10</v>
      </c>
      <c r="F181" s="144">
        <v>2</v>
      </c>
      <c r="G181" s="143" t="s">
        <v>282</v>
      </c>
      <c r="H181" s="143" t="s">
        <v>323</v>
      </c>
      <c r="I181" s="144"/>
      <c r="J181" s="147">
        <f>SUM(J182:J183)</f>
        <v>7806</v>
      </c>
      <c r="K181" s="147">
        <f>SUM(K182:K183)</f>
        <v>7806</v>
      </c>
      <c r="L181" s="147">
        <f>SUM(L182:L183)</f>
        <v>6153.2999999999993</v>
      </c>
    </row>
    <row r="182" spans="1:12" ht="15.75">
      <c r="A182" s="148" t="s">
        <v>127</v>
      </c>
      <c r="B182" s="143" t="s">
        <v>21</v>
      </c>
      <c r="C182" s="143" t="s">
        <v>14</v>
      </c>
      <c r="D182" s="143" t="s">
        <v>10</v>
      </c>
      <c r="E182" s="143" t="s">
        <v>10</v>
      </c>
      <c r="F182" s="144">
        <v>2</v>
      </c>
      <c r="G182" s="143" t="s">
        <v>282</v>
      </c>
      <c r="H182" s="143" t="s">
        <v>323</v>
      </c>
      <c r="I182" s="144">
        <v>240</v>
      </c>
      <c r="J182" s="147">
        <f>5676+130+2000</f>
        <v>7806</v>
      </c>
      <c r="K182" s="147">
        <v>7805.6</v>
      </c>
      <c r="L182" s="147">
        <v>6152.9</v>
      </c>
    </row>
    <row r="183" spans="1:12" ht="15.75">
      <c r="A183" s="146" t="s">
        <v>107</v>
      </c>
      <c r="B183" s="143" t="s">
        <v>21</v>
      </c>
      <c r="C183" s="143" t="s">
        <v>14</v>
      </c>
      <c r="D183" s="143" t="s">
        <v>10</v>
      </c>
      <c r="E183" s="143" t="s">
        <v>10</v>
      </c>
      <c r="F183" s="144">
        <v>2</v>
      </c>
      <c r="G183" s="143" t="s">
        <v>282</v>
      </c>
      <c r="H183" s="143" t="s">
        <v>323</v>
      </c>
      <c r="I183" s="144">
        <v>850</v>
      </c>
      <c r="J183" s="147"/>
      <c r="K183" s="147">
        <v>0.4</v>
      </c>
      <c r="L183" s="147">
        <v>0.4</v>
      </c>
    </row>
    <row r="184" spans="1:12" ht="15.75">
      <c r="A184" s="148" t="s">
        <v>66</v>
      </c>
      <c r="B184" s="143" t="s">
        <v>21</v>
      </c>
      <c r="C184" s="143" t="s">
        <v>14</v>
      </c>
      <c r="D184" s="143" t="s">
        <v>10</v>
      </c>
      <c r="E184" s="143" t="s">
        <v>10</v>
      </c>
      <c r="F184" s="144">
        <v>2</v>
      </c>
      <c r="G184" s="143" t="s">
        <v>282</v>
      </c>
      <c r="H184" s="143" t="s">
        <v>324</v>
      </c>
      <c r="I184" s="144"/>
      <c r="J184" s="147">
        <f>J185</f>
        <v>1978.7</v>
      </c>
      <c r="K184" s="147">
        <f>K185</f>
        <v>2278.6999999999998</v>
      </c>
      <c r="L184" s="147">
        <f>L185</f>
        <v>2278.1999999999998</v>
      </c>
    </row>
    <row r="185" spans="1:12" ht="15.75">
      <c r="A185" s="148" t="s">
        <v>127</v>
      </c>
      <c r="B185" s="143" t="s">
        <v>21</v>
      </c>
      <c r="C185" s="143" t="s">
        <v>14</v>
      </c>
      <c r="D185" s="143" t="s">
        <v>10</v>
      </c>
      <c r="E185" s="143" t="s">
        <v>10</v>
      </c>
      <c r="F185" s="144">
        <v>2</v>
      </c>
      <c r="G185" s="143" t="s">
        <v>282</v>
      </c>
      <c r="H185" s="143" t="s">
        <v>324</v>
      </c>
      <c r="I185" s="144">
        <v>240</v>
      </c>
      <c r="J185" s="147">
        <f>1500+478.7</f>
        <v>1978.7</v>
      </c>
      <c r="K185" s="147">
        <v>2278.6999999999998</v>
      </c>
      <c r="L185" s="147">
        <v>2278.1999999999998</v>
      </c>
    </row>
    <row r="186" spans="1:12" ht="15.75">
      <c r="A186" s="148" t="s">
        <v>64</v>
      </c>
      <c r="B186" s="143" t="s">
        <v>21</v>
      </c>
      <c r="C186" s="143" t="s">
        <v>14</v>
      </c>
      <c r="D186" s="143" t="s">
        <v>10</v>
      </c>
      <c r="E186" s="143" t="s">
        <v>10</v>
      </c>
      <c r="F186" s="144">
        <v>3</v>
      </c>
      <c r="G186" s="143" t="s">
        <v>282</v>
      </c>
      <c r="H186" s="143" t="s">
        <v>362</v>
      </c>
      <c r="I186" s="144"/>
      <c r="J186" s="147">
        <f>J187+J189+J191+J193+J195+J197+J199+J201</f>
        <v>14531.7</v>
      </c>
      <c r="K186" s="147">
        <f>K187+K189+K191+K193+K195+K197+K199+K201</f>
        <v>14231.7</v>
      </c>
      <c r="L186" s="147">
        <f>L187+L189+L191+L193+L195+L197+L199+L201</f>
        <v>13108.400000000001</v>
      </c>
    </row>
    <row r="187" spans="1:12" ht="15.75">
      <c r="A187" s="148" t="s">
        <v>418</v>
      </c>
      <c r="B187" s="143" t="s">
        <v>21</v>
      </c>
      <c r="C187" s="143" t="s">
        <v>14</v>
      </c>
      <c r="D187" s="143" t="s">
        <v>10</v>
      </c>
      <c r="E187" s="143" t="s">
        <v>10</v>
      </c>
      <c r="F187" s="144">
        <v>3</v>
      </c>
      <c r="G187" s="143" t="s">
        <v>282</v>
      </c>
      <c r="H187" s="143" t="s">
        <v>419</v>
      </c>
      <c r="I187" s="144"/>
      <c r="J187" s="147">
        <f>SUM(J188:J188)</f>
        <v>1060</v>
      </c>
      <c r="K187" s="147">
        <f>SUM(K188:K188)</f>
        <v>760</v>
      </c>
      <c r="L187" s="147">
        <f>SUM(L188:L188)</f>
        <v>723</v>
      </c>
    </row>
    <row r="188" spans="1:12" ht="15.75">
      <c r="A188" s="148" t="s">
        <v>127</v>
      </c>
      <c r="B188" s="143" t="s">
        <v>21</v>
      </c>
      <c r="C188" s="143" t="s">
        <v>14</v>
      </c>
      <c r="D188" s="143" t="s">
        <v>10</v>
      </c>
      <c r="E188" s="143" t="s">
        <v>10</v>
      </c>
      <c r="F188" s="144">
        <v>3</v>
      </c>
      <c r="G188" s="143" t="s">
        <v>282</v>
      </c>
      <c r="H188" s="143" t="s">
        <v>419</v>
      </c>
      <c r="I188" s="144">
        <v>240</v>
      </c>
      <c r="J188" s="147">
        <f>300+300+100+360</f>
        <v>1060</v>
      </c>
      <c r="K188" s="147">
        <v>760</v>
      </c>
      <c r="L188" s="147">
        <v>723</v>
      </c>
    </row>
    <row r="189" spans="1:12" ht="15.75">
      <c r="A189" s="148" t="s">
        <v>65</v>
      </c>
      <c r="B189" s="143" t="s">
        <v>21</v>
      </c>
      <c r="C189" s="143" t="s">
        <v>14</v>
      </c>
      <c r="D189" s="143" t="s">
        <v>10</v>
      </c>
      <c r="E189" s="143" t="s">
        <v>10</v>
      </c>
      <c r="F189" s="144">
        <v>3</v>
      </c>
      <c r="G189" s="143" t="s">
        <v>282</v>
      </c>
      <c r="H189" s="143" t="s">
        <v>325</v>
      </c>
      <c r="I189" s="144"/>
      <c r="J189" s="147">
        <f>J190</f>
        <v>1276.3</v>
      </c>
      <c r="K189" s="147">
        <f>K190</f>
        <v>1289.2</v>
      </c>
      <c r="L189" s="147">
        <f>L190</f>
        <v>1231.4000000000001</v>
      </c>
    </row>
    <row r="190" spans="1:12" ht="15.75">
      <c r="A190" s="148" t="s">
        <v>127</v>
      </c>
      <c r="B190" s="143" t="s">
        <v>21</v>
      </c>
      <c r="C190" s="143" t="s">
        <v>14</v>
      </c>
      <c r="D190" s="143" t="s">
        <v>10</v>
      </c>
      <c r="E190" s="143" t="s">
        <v>10</v>
      </c>
      <c r="F190" s="144">
        <v>3</v>
      </c>
      <c r="G190" s="143" t="s">
        <v>282</v>
      </c>
      <c r="H190" s="143" t="s">
        <v>325</v>
      </c>
      <c r="I190" s="144">
        <v>240</v>
      </c>
      <c r="J190" s="147">
        <f>400+1355-478.7</f>
        <v>1276.3</v>
      </c>
      <c r="K190" s="147">
        <v>1289.2</v>
      </c>
      <c r="L190" s="147">
        <v>1231.4000000000001</v>
      </c>
    </row>
    <row r="191" spans="1:12" ht="15.75">
      <c r="A191" s="148" t="s">
        <v>67</v>
      </c>
      <c r="B191" s="143" t="s">
        <v>21</v>
      </c>
      <c r="C191" s="143" t="s">
        <v>14</v>
      </c>
      <c r="D191" s="143" t="s">
        <v>10</v>
      </c>
      <c r="E191" s="143" t="s">
        <v>10</v>
      </c>
      <c r="F191" s="144">
        <v>3</v>
      </c>
      <c r="G191" s="143" t="s">
        <v>282</v>
      </c>
      <c r="H191" s="144">
        <v>29220</v>
      </c>
      <c r="I191" s="144"/>
      <c r="J191" s="147">
        <f>J192</f>
        <v>820</v>
      </c>
      <c r="K191" s="147">
        <f>K192</f>
        <v>820</v>
      </c>
      <c r="L191" s="147">
        <f>L192</f>
        <v>517.4</v>
      </c>
    </row>
    <row r="192" spans="1:12" ht="15.75">
      <c r="A192" s="148" t="s">
        <v>127</v>
      </c>
      <c r="B192" s="143" t="s">
        <v>21</v>
      </c>
      <c r="C192" s="143" t="s">
        <v>14</v>
      </c>
      <c r="D192" s="143" t="s">
        <v>10</v>
      </c>
      <c r="E192" s="143" t="s">
        <v>10</v>
      </c>
      <c r="F192" s="144">
        <v>3</v>
      </c>
      <c r="G192" s="143" t="s">
        <v>282</v>
      </c>
      <c r="H192" s="144">
        <v>29220</v>
      </c>
      <c r="I192" s="144">
        <v>240</v>
      </c>
      <c r="J192" s="147">
        <f>500+20+300</f>
        <v>820</v>
      </c>
      <c r="K192" s="147">
        <f>J192</f>
        <v>820</v>
      </c>
      <c r="L192" s="147">
        <v>517.4</v>
      </c>
    </row>
    <row r="193" spans="1:12" ht="15.75">
      <c r="A193" s="148" t="s">
        <v>68</v>
      </c>
      <c r="B193" s="144">
        <v>871</v>
      </c>
      <c r="C193" s="143" t="s">
        <v>14</v>
      </c>
      <c r="D193" s="143" t="s">
        <v>10</v>
      </c>
      <c r="E193" s="143" t="s">
        <v>10</v>
      </c>
      <c r="F193" s="144">
        <v>3</v>
      </c>
      <c r="G193" s="143" t="s">
        <v>282</v>
      </c>
      <c r="H193" s="143" t="s">
        <v>326</v>
      </c>
      <c r="I193" s="144"/>
      <c r="J193" s="147">
        <f>J194</f>
        <v>5628.0000000000009</v>
      </c>
      <c r="K193" s="147">
        <f>K194</f>
        <v>6028</v>
      </c>
      <c r="L193" s="147">
        <f>L194</f>
        <v>5444.8</v>
      </c>
    </row>
    <row r="194" spans="1:12" ht="15.75">
      <c r="A194" s="148" t="s">
        <v>127</v>
      </c>
      <c r="B194" s="144">
        <v>871</v>
      </c>
      <c r="C194" s="143" t="s">
        <v>14</v>
      </c>
      <c r="D194" s="143" t="s">
        <v>10</v>
      </c>
      <c r="E194" s="143" t="s">
        <v>10</v>
      </c>
      <c r="F194" s="144">
        <v>3</v>
      </c>
      <c r="G194" s="143" t="s">
        <v>282</v>
      </c>
      <c r="H194" s="143" t="s">
        <v>326</v>
      </c>
      <c r="I194" s="144">
        <v>240</v>
      </c>
      <c r="J194" s="147">
        <f>4318.6+2336-43.9-600-400+17.3</f>
        <v>5628.0000000000009</v>
      </c>
      <c r="K194" s="147">
        <v>6028</v>
      </c>
      <c r="L194" s="147">
        <v>5444.8</v>
      </c>
    </row>
    <row r="195" spans="1:12" ht="15.75">
      <c r="A195" s="148" t="s">
        <v>327</v>
      </c>
      <c r="B195" s="144">
        <v>871</v>
      </c>
      <c r="C195" s="143" t="s">
        <v>14</v>
      </c>
      <c r="D195" s="143" t="s">
        <v>10</v>
      </c>
      <c r="E195" s="143" t="s">
        <v>10</v>
      </c>
      <c r="F195" s="144">
        <v>3</v>
      </c>
      <c r="G195" s="143" t="s">
        <v>282</v>
      </c>
      <c r="H195" s="143" t="s">
        <v>328</v>
      </c>
      <c r="I195" s="144"/>
      <c r="J195" s="147">
        <f>J196</f>
        <v>3064</v>
      </c>
      <c r="K195" s="147">
        <f>K196</f>
        <v>3064</v>
      </c>
      <c r="L195" s="147">
        <f>L196</f>
        <v>3063.8</v>
      </c>
    </row>
    <row r="196" spans="1:12" ht="15.75">
      <c r="A196" s="148" t="s">
        <v>127</v>
      </c>
      <c r="B196" s="144">
        <v>871</v>
      </c>
      <c r="C196" s="143" t="s">
        <v>14</v>
      </c>
      <c r="D196" s="143" t="s">
        <v>10</v>
      </c>
      <c r="E196" s="143" t="s">
        <v>10</v>
      </c>
      <c r="F196" s="144">
        <v>3</v>
      </c>
      <c r="G196" s="143" t="s">
        <v>282</v>
      </c>
      <c r="H196" s="143" t="s">
        <v>328</v>
      </c>
      <c r="I196" s="144">
        <v>240</v>
      </c>
      <c r="J196" s="147">
        <f>2000+700+573-209</f>
        <v>3064</v>
      </c>
      <c r="K196" s="147">
        <f>J196</f>
        <v>3064</v>
      </c>
      <c r="L196" s="147">
        <v>3063.8</v>
      </c>
    </row>
    <row r="197" spans="1:12" ht="15.75">
      <c r="A197" s="148" t="s">
        <v>87</v>
      </c>
      <c r="B197" s="144">
        <v>871</v>
      </c>
      <c r="C197" s="143" t="s">
        <v>14</v>
      </c>
      <c r="D197" s="143" t="s">
        <v>10</v>
      </c>
      <c r="E197" s="143" t="s">
        <v>10</v>
      </c>
      <c r="F197" s="144">
        <v>3</v>
      </c>
      <c r="G197" s="143" t="s">
        <v>282</v>
      </c>
      <c r="H197" s="143" t="s">
        <v>329</v>
      </c>
      <c r="I197" s="144"/>
      <c r="J197" s="147">
        <f>J198</f>
        <v>200</v>
      </c>
      <c r="K197" s="147">
        <f>K198</f>
        <v>200</v>
      </c>
      <c r="L197" s="147">
        <f>L198</f>
        <v>142.9</v>
      </c>
    </row>
    <row r="198" spans="1:12" ht="15.75">
      <c r="A198" s="148" t="s">
        <v>127</v>
      </c>
      <c r="B198" s="144">
        <v>871</v>
      </c>
      <c r="C198" s="143" t="s">
        <v>14</v>
      </c>
      <c r="D198" s="143" t="s">
        <v>10</v>
      </c>
      <c r="E198" s="143" t="s">
        <v>10</v>
      </c>
      <c r="F198" s="144">
        <v>3</v>
      </c>
      <c r="G198" s="143" t="s">
        <v>282</v>
      </c>
      <c r="H198" s="143" t="s">
        <v>329</v>
      </c>
      <c r="I198" s="144">
        <v>240</v>
      </c>
      <c r="J198" s="147">
        <f>250-50</f>
        <v>200</v>
      </c>
      <c r="K198" s="147">
        <f>J198</f>
        <v>200</v>
      </c>
      <c r="L198" s="147">
        <v>142.9</v>
      </c>
    </row>
    <row r="199" spans="1:12" ht="15.75">
      <c r="A199" s="148" t="s">
        <v>374</v>
      </c>
      <c r="B199" s="144">
        <v>871</v>
      </c>
      <c r="C199" s="143" t="s">
        <v>14</v>
      </c>
      <c r="D199" s="143" t="s">
        <v>10</v>
      </c>
      <c r="E199" s="143" t="s">
        <v>10</v>
      </c>
      <c r="F199" s="144">
        <v>3</v>
      </c>
      <c r="G199" s="143" t="s">
        <v>282</v>
      </c>
      <c r="H199" s="143" t="s">
        <v>375</v>
      </c>
      <c r="I199" s="144"/>
      <c r="J199" s="147">
        <f>J200</f>
        <v>1844.8</v>
      </c>
      <c r="K199" s="147">
        <f>K200</f>
        <v>1431.9</v>
      </c>
      <c r="L199" s="147">
        <f>L200</f>
        <v>1427</v>
      </c>
    </row>
    <row r="200" spans="1:12" ht="15.75">
      <c r="A200" s="148" t="s">
        <v>127</v>
      </c>
      <c r="B200" s="144">
        <v>871</v>
      </c>
      <c r="C200" s="143" t="s">
        <v>14</v>
      </c>
      <c r="D200" s="143" t="s">
        <v>10</v>
      </c>
      <c r="E200" s="143" t="s">
        <v>10</v>
      </c>
      <c r="F200" s="144">
        <v>3</v>
      </c>
      <c r="G200" s="143" t="s">
        <v>282</v>
      </c>
      <c r="H200" s="143" t="s">
        <v>375</v>
      </c>
      <c r="I200" s="144">
        <v>240</v>
      </c>
      <c r="J200" s="147">
        <f>487.7+1600+101.4-250-94.3</f>
        <v>1844.8</v>
      </c>
      <c r="K200" s="147">
        <v>1431.9</v>
      </c>
      <c r="L200" s="147">
        <v>1427</v>
      </c>
    </row>
    <row r="201" spans="1:12" ht="15.75">
      <c r="A201" s="148" t="s">
        <v>474</v>
      </c>
      <c r="B201" s="144">
        <v>871</v>
      </c>
      <c r="C201" s="143" t="s">
        <v>14</v>
      </c>
      <c r="D201" s="143" t="s">
        <v>10</v>
      </c>
      <c r="E201" s="143" t="s">
        <v>10</v>
      </c>
      <c r="F201" s="144">
        <v>3</v>
      </c>
      <c r="G201" s="143" t="s">
        <v>282</v>
      </c>
      <c r="H201" s="143" t="s">
        <v>475</v>
      </c>
      <c r="I201" s="144"/>
      <c r="J201" s="147">
        <f>J202</f>
        <v>638.60000000000036</v>
      </c>
      <c r="K201" s="147">
        <f>K202</f>
        <v>638.60000000000036</v>
      </c>
      <c r="L201" s="147">
        <f>L202</f>
        <v>558.1</v>
      </c>
    </row>
    <row r="202" spans="1:12" ht="15.75">
      <c r="A202" s="148" t="s">
        <v>127</v>
      </c>
      <c r="B202" s="144">
        <v>871</v>
      </c>
      <c r="C202" s="143" t="s">
        <v>14</v>
      </c>
      <c r="D202" s="143" t="s">
        <v>10</v>
      </c>
      <c r="E202" s="143" t="s">
        <v>10</v>
      </c>
      <c r="F202" s="144">
        <v>3</v>
      </c>
      <c r="G202" s="143" t="s">
        <v>282</v>
      </c>
      <c r="H202" s="143" t="s">
        <v>475</v>
      </c>
      <c r="I202" s="144">
        <v>240</v>
      </c>
      <c r="J202" s="147">
        <f>400+5238.6-2760.7-2239.3</f>
        <v>638.60000000000036</v>
      </c>
      <c r="K202" s="147">
        <f>J202</f>
        <v>638.60000000000036</v>
      </c>
      <c r="L202" s="147">
        <v>558.1</v>
      </c>
    </row>
    <row r="203" spans="1:12" ht="31.5">
      <c r="A203" s="148" t="s">
        <v>478</v>
      </c>
      <c r="B203" s="144">
        <v>871</v>
      </c>
      <c r="C203" s="143" t="s">
        <v>14</v>
      </c>
      <c r="D203" s="143" t="s">
        <v>10</v>
      </c>
      <c r="E203" s="143" t="s">
        <v>371</v>
      </c>
      <c r="F203" s="144">
        <v>0</v>
      </c>
      <c r="G203" s="143" t="s">
        <v>282</v>
      </c>
      <c r="H203" s="143" t="s">
        <v>362</v>
      </c>
      <c r="I203" s="144"/>
      <c r="J203" s="147">
        <f t="shared" ref="J203:L206" si="23">J204</f>
        <v>1599</v>
      </c>
      <c r="K203" s="147">
        <f t="shared" si="23"/>
        <v>1599</v>
      </c>
      <c r="L203" s="147">
        <f t="shared" si="23"/>
        <v>1527.9</v>
      </c>
    </row>
    <row r="204" spans="1:12" ht="31.5">
      <c r="A204" s="148" t="s">
        <v>479</v>
      </c>
      <c r="B204" s="144">
        <v>871</v>
      </c>
      <c r="C204" s="143" t="s">
        <v>14</v>
      </c>
      <c r="D204" s="143" t="s">
        <v>10</v>
      </c>
      <c r="E204" s="143" t="s">
        <v>371</v>
      </c>
      <c r="F204" s="144">
        <v>1</v>
      </c>
      <c r="G204" s="143" t="s">
        <v>282</v>
      </c>
      <c r="H204" s="143" t="s">
        <v>362</v>
      </c>
      <c r="I204" s="144"/>
      <c r="J204" s="147">
        <f t="shared" si="23"/>
        <v>1599</v>
      </c>
      <c r="K204" s="147">
        <f t="shared" si="23"/>
        <v>1599</v>
      </c>
      <c r="L204" s="147">
        <f t="shared" si="23"/>
        <v>1527.9</v>
      </c>
    </row>
    <row r="205" spans="1:12" ht="47.25">
      <c r="A205" s="148" t="s">
        <v>421</v>
      </c>
      <c r="B205" s="144">
        <v>871</v>
      </c>
      <c r="C205" s="143" t="s">
        <v>14</v>
      </c>
      <c r="D205" s="143" t="s">
        <v>10</v>
      </c>
      <c r="E205" s="143" t="s">
        <v>371</v>
      </c>
      <c r="F205" s="144">
        <v>1</v>
      </c>
      <c r="G205" s="143" t="s">
        <v>480</v>
      </c>
      <c r="H205" s="143" t="s">
        <v>362</v>
      </c>
      <c r="I205" s="144"/>
      <c r="J205" s="147">
        <f t="shared" si="23"/>
        <v>1599</v>
      </c>
      <c r="K205" s="147">
        <f t="shared" si="23"/>
        <v>1599</v>
      </c>
      <c r="L205" s="147">
        <f t="shared" si="23"/>
        <v>1527.9</v>
      </c>
    </row>
    <row r="206" spans="1:12" ht="47.25">
      <c r="A206" s="148" t="s">
        <v>420</v>
      </c>
      <c r="B206" s="144">
        <v>871</v>
      </c>
      <c r="C206" s="143" t="s">
        <v>14</v>
      </c>
      <c r="D206" s="143" t="s">
        <v>10</v>
      </c>
      <c r="E206" s="143" t="s">
        <v>371</v>
      </c>
      <c r="F206" s="144">
        <v>1</v>
      </c>
      <c r="G206" s="143" t="s">
        <v>480</v>
      </c>
      <c r="H206" s="143" t="s">
        <v>481</v>
      </c>
      <c r="I206" s="144"/>
      <c r="J206" s="147">
        <f t="shared" si="23"/>
        <v>1599</v>
      </c>
      <c r="K206" s="147">
        <f t="shared" si="23"/>
        <v>1599</v>
      </c>
      <c r="L206" s="147">
        <f t="shared" si="23"/>
        <v>1527.9</v>
      </c>
    </row>
    <row r="207" spans="1:12" ht="15.75">
      <c r="A207" s="156" t="s">
        <v>35</v>
      </c>
      <c r="B207" s="144">
        <v>871</v>
      </c>
      <c r="C207" s="143" t="s">
        <v>14</v>
      </c>
      <c r="D207" s="143" t="s">
        <v>10</v>
      </c>
      <c r="E207" s="143" t="s">
        <v>371</v>
      </c>
      <c r="F207" s="144">
        <v>1</v>
      </c>
      <c r="G207" s="143" t="s">
        <v>480</v>
      </c>
      <c r="H207" s="143" t="s">
        <v>481</v>
      </c>
      <c r="I207" s="144">
        <v>540</v>
      </c>
      <c r="J207" s="147">
        <v>1599</v>
      </c>
      <c r="K207" s="147">
        <f>J207</f>
        <v>1599</v>
      </c>
      <c r="L207" s="147">
        <v>1527.9</v>
      </c>
    </row>
    <row r="208" spans="1:12" ht="15.75">
      <c r="A208" s="148" t="s">
        <v>330</v>
      </c>
      <c r="B208" s="144">
        <v>871</v>
      </c>
      <c r="C208" s="143" t="s">
        <v>14</v>
      </c>
      <c r="D208" s="143" t="s">
        <v>14</v>
      </c>
      <c r="E208" s="143" t="s">
        <v>282</v>
      </c>
      <c r="F208" s="144">
        <v>0</v>
      </c>
      <c r="G208" s="143" t="s">
        <v>282</v>
      </c>
      <c r="H208" s="143" t="s">
        <v>362</v>
      </c>
      <c r="I208" s="144"/>
      <c r="J208" s="147">
        <f>J209+J215</f>
        <v>18170.100000000002</v>
      </c>
      <c r="K208" s="147">
        <f>K209+K215</f>
        <v>18170.100000000002</v>
      </c>
      <c r="L208" s="147">
        <f>L209+L215</f>
        <v>15674.800000000001</v>
      </c>
    </row>
    <row r="209" spans="1:12" ht="31.5">
      <c r="A209" s="146" t="s">
        <v>470</v>
      </c>
      <c r="B209" s="144">
        <v>871</v>
      </c>
      <c r="C209" s="143" t="s">
        <v>14</v>
      </c>
      <c r="D209" s="143" t="s">
        <v>14</v>
      </c>
      <c r="E209" s="143" t="s">
        <v>10</v>
      </c>
      <c r="F209" s="144">
        <v>0</v>
      </c>
      <c r="G209" s="143" t="s">
        <v>282</v>
      </c>
      <c r="H209" s="143" t="s">
        <v>362</v>
      </c>
      <c r="I209" s="144"/>
      <c r="J209" s="147">
        <f t="shared" ref="J209:L210" si="24">J210</f>
        <v>17649.100000000002</v>
      </c>
      <c r="K209" s="147">
        <f t="shared" si="24"/>
        <v>17649.100000000002</v>
      </c>
      <c r="L209" s="147">
        <f t="shared" si="24"/>
        <v>15446.6</v>
      </c>
    </row>
    <row r="210" spans="1:12" ht="15.75">
      <c r="A210" s="148" t="s">
        <v>69</v>
      </c>
      <c r="B210" s="144">
        <v>871</v>
      </c>
      <c r="C210" s="143" t="s">
        <v>14</v>
      </c>
      <c r="D210" s="143" t="s">
        <v>14</v>
      </c>
      <c r="E210" s="143" t="s">
        <v>10</v>
      </c>
      <c r="F210" s="144">
        <v>4</v>
      </c>
      <c r="G210" s="143" t="s">
        <v>282</v>
      </c>
      <c r="H210" s="143" t="s">
        <v>362</v>
      </c>
      <c r="I210" s="144"/>
      <c r="J210" s="147">
        <f t="shared" si="24"/>
        <v>17649.100000000002</v>
      </c>
      <c r="K210" s="147">
        <f t="shared" si="24"/>
        <v>17649.100000000002</v>
      </c>
      <c r="L210" s="147">
        <f t="shared" si="24"/>
        <v>15446.6</v>
      </c>
    </row>
    <row r="211" spans="1:12" ht="15.75">
      <c r="A211" s="148" t="s">
        <v>70</v>
      </c>
      <c r="B211" s="144">
        <v>871</v>
      </c>
      <c r="C211" s="143" t="s">
        <v>14</v>
      </c>
      <c r="D211" s="143" t="s">
        <v>14</v>
      </c>
      <c r="E211" s="143" t="s">
        <v>10</v>
      </c>
      <c r="F211" s="144">
        <v>4</v>
      </c>
      <c r="G211" s="143" t="s">
        <v>282</v>
      </c>
      <c r="H211" s="143" t="s">
        <v>331</v>
      </c>
      <c r="I211" s="144"/>
      <c r="J211" s="147">
        <f>SUM(J212:J214)</f>
        <v>17649.100000000002</v>
      </c>
      <c r="K211" s="147">
        <f>SUM(K212:K214)</f>
        <v>17649.100000000002</v>
      </c>
      <c r="L211" s="147">
        <f>SUM(L212:L214)</f>
        <v>15446.6</v>
      </c>
    </row>
    <row r="212" spans="1:12" ht="15.75">
      <c r="A212" s="146" t="s">
        <v>105</v>
      </c>
      <c r="B212" s="144">
        <v>871</v>
      </c>
      <c r="C212" s="143" t="s">
        <v>14</v>
      </c>
      <c r="D212" s="143" t="s">
        <v>14</v>
      </c>
      <c r="E212" s="143" t="s">
        <v>10</v>
      </c>
      <c r="F212" s="144">
        <v>4</v>
      </c>
      <c r="G212" s="143" t="s">
        <v>282</v>
      </c>
      <c r="H212" s="143" t="s">
        <v>331</v>
      </c>
      <c r="I212" s="144">
        <v>110</v>
      </c>
      <c r="J212" s="147">
        <f>12295.1+1743.1</f>
        <v>14038.2</v>
      </c>
      <c r="K212" s="147">
        <f>J212</f>
        <v>14038.2</v>
      </c>
      <c r="L212" s="147">
        <v>12296</v>
      </c>
    </row>
    <row r="213" spans="1:12" ht="15.75">
      <c r="A213" s="148" t="s">
        <v>127</v>
      </c>
      <c r="B213" s="144">
        <v>871</v>
      </c>
      <c r="C213" s="143" t="s">
        <v>14</v>
      </c>
      <c r="D213" s="143" t="s">
        <v>14</v>
      </c>
      <c r="E213" s="143" t="s">
        <v>10</v>
      </c>
      <c r="F213" s="144">
        <v>4</v>
      </c>
      <c r="G213" s="143" t="s">
        <v>282</v>
      </c>
      <c r="H213" s="143" t="s">
        <v>331</v>
      </c>
      <c r="I213" s="144">
        <v>240</v>
      </c>
      <c r="J213" s="147">
        <f>2850.8+400+800-486.9</f>
        <v>3563.9</v>
      </c>
      <c r="K213" s="147">
        <f>J213</f>
        <v>3563.9</v>
      </c>
      <c r="L213" s="147">
        <v>3108.6</v>
      </c>
    </row>
    <row r="214" spans="1:12" ht="15.75">
      <c r="A214" s="146" t="s">
        <v>107</v>
      </c>
      <c r="B214" s="144">
        <v>871</v>
      </c>
      <c r="C214" s="143" t="s">
        <v>14</v>
      </c>
      <c r="D214" s="143" t="s">
        <v>14</v>
      </c>
      <c r="E214" s="143" t="s">
        <v>10</v>
      </c>
      <c r="F214" s="144">
        <v>4</v>
      </c>
      <c r="G214" s="143" t="s">
        <v>282</v>
      </c>
      <c r="H214" s="143" t="s">
        <v>331</v>
      </c>
      <c r="I214" s="144">
        <v>850</v>
      </c>
      <c r="J214" s="147">
        <f>47</f>
        <v>47</v>
      </c>
      <c r="K214" s="147">
        <f>J214</f>
        <v>47</v>
      </c>
      <c r="L214" s="147">
        <v>42</v>
      </c>
    </row>
    <row r="215" spans="1:12" ht="31.5">
      <c r="A215" s="146" t="s">
        <v>122</v>
      </c>
      <c r="B215" s="144">
        <v>871</v>
      </c>
      <c r="C215" s="143" t="s">
        <v>14</v>
      </c>
      <c r="D215" s="143" t="s">
        <v>14</v>
      </c>
      <c r="E215" s="143" t="s">
        <v>16</v>
      </c>
      <c r="F215" s="144">
        <v>0</v>
      </c>
      <c r="G215" s="143" t="s">
        <v>282</v>
      </c>
      <c r="H215" s="143" t="s">
        <v>362</v>
      </c>
      <c r="I215" s="144"/>
      <c r="J215" s="147">
        <f>J216</f>
        <v>521</v>
      </c>
      <c r="K215" s="147">
        <f>K216</f>
        <v>521</v>
      </c>
      <c r="L215" s="147">
        <f>L216</f>
        <v>228.20000000000002</v>
      </c>
    </row>
    <row r="216" spans="1:12" ht="15.75">
      <c r="A216" s="146" t="s">
        <v>332</v>
      </c>
      <c r="B216" s="143" t="s">
        <v>21</v>
      </c>
      <c r="C216" s="143" t="s">
        <v>14</v>
      </c>
      <c r="D216" s="143" t="s">
        <v>14</v>
      </c>
      <c r="E216" s="143" t="s">
        <v>16</v>
      </c>
      <c r="F216" s="144">
        <v>2</v>
      </c>
      <c r="G216" s="143" t="s">
        <v>282</v>
      </c>
      <c r="H216" s="143" t="s">
        <v>362</v>
      </c>
      <c r="I216" s="144"/>
      <c r="J216" s="147">
        <f>J217+J220</f>
        <v>521</v>
      </c>
      <c r="K216" s="147">
        <f>K217+K220</f>
        <v>521</v>
      </c>
      <c r="L216" s="147">
        <f>L217+L220</f>
        <v>228.20000000000002</v>
      </c>
    </row>
    <row r="217" spans="1:12" ht="15.75">
      <c r="A217" s="146" t="s">
        <v>298</v>
      </c>
      <c r="B217" s="143" t="s">
        <v>21</v>
      </c>
      <c r="C217" s="143" t="s">
        <v>14</v>
      </c>
      <c r="D217" s="143" t="s">
        <v>14</v>
      </c>
      <c r="E217" s="143" t="s">
        <v>16</v>
      </c>
      <c r="F217" s="144">
        <v>2</v>
      </c>
      <c r="G217" s="143" t="s">
        <v>9</v>
      </c>
      <c r="H217" s="143" t="s">
        <v>362</v>
      </c>
      <c r="I217" s="144"/>
      <c r="J217" s="147">
        <f t="shared" ref="J217:L218" si="25">J218</f>
        <v>301</v>
      </c>
      <c r="K217" s="147">
        <f t="shared" si="25"/>
        <v>301</v>
      </c>
      <c r="L217" s="147">
        <f t="shared" si="25"/>
        <v>16.899999999999999</v>
      </c>
    </row>
    <row r="218" spans="1:12" ht="31.5">
      <c r="A218" s="148" t="s">
        <v>115</v>
      </c>
      <c r="B218" s="143" t="s">
        <v>21</v>
      </c>
      <c r="C218" s="143" t="s">
        <v>14</v>
      </c>
      <c r="D218" s="143" t="s">
        <v>14</v>
      </c>
      <c r="E218" s="143" t="s">
        <v>16</v>
      </c>
      <c r="F218" s="143" t="s">
        <v>290</v>
      </c>
      <c r="G218" s="143" t="s">
        <v>9</v>
      </c>
      <c r="H218" s="143" t="s">
        <v>299</v>
      </c>
      <c r="I218" s="143"/>
      <c r="J218" s="147">
        <f t="shared" si="25"/>
        <v>301</v>
      </c>
      <c r="K218" s="147">
        <f t="shared" si="25"/>
        <v>301</v>
      </c>
      <c r="L218" s="147">
        <f t="shared" si="25"/>
        <v>16.899999999999999</v>
      </c>
    </row>
    <row r="219" spans="1:12" ht="15.75">
      <c r="A219" s="148" t="s">
        <v>127</v>
      </c>
      <c r="B219" s="143" t="s">
        <v>21</v>
      </c>
      <c r="C219" s="143" t="s">
        <v>14</v>
      </c>
      <c r="D219" s="143" t="s">
        <v>14</v>
      </c>
      <c r="E219" s="143" t="s">
        <v>16</v>
      </c>
      <c r="F219" s="143" t="s">
        <v>290</v>
      </c>
      <c r="G219" s="143" t="s">
        <v>9</v>
      </c>
      <c r="H219" s="143" t="s">
        <v>299</v>
      </c>
      <c r="I219" s="143" t="s">
        <v>117</v>
      </c>
      <c r="J219" s="147">
        <f>50+100+151</f>
        <v>301</v>
      </c>
      <c r="K219" s="147">
        <f>J219</f>
        <v>301</v>
      </c>
      <c r="L219" s="147">
        <v>16.899999999999999</v>
      </c>
    </row>
    <row r="220" spans="1:12" ht="15.75">
      <c r="A220" s="146" t="s">
        <v>333</v>
      </c>
      <c r="B220" s="143" t="s">
        <v>21</v>
      </c>
      <c r="C220" s="143" t="s">
        <v>14</v>
      </c>
      <c r="D220" s="143" t="s">
        <v>14</v>
      </c>
      <c r="E220" s="143" t="s">
        <v>16</v>
      </c>
      <c r="F220" s="144">
        <v>2</v>
      </c>
      <c r="G220" s="143" t="s">
        <v>11</v>
      </c>
      <c r="H220" s="143"/>
      <c r="I220" s="144"/>
      <c r="J220" s="147">
        <f t="shared" ref="J220:L221" si="26">J221</f>
        <v>220</v>
      </c>
      <c r="K220" s="147">
        <f t="shared" si="26"/>
        <v>220</v>
      </c>
      <c r="L220" s="147">
        <f t="shared" si="26"/>
        <v>211.3</v>
      </c>
    </row>
    <row r="221" spans="1:12" ht="31.5">
      <c r="A221" s="148" t="s">
        <v>115</v>
      </c>
      <c r="B221" s="143" t="s">
        <v>21</v>
      </c>
      <c r="C221" s="143" t="s">
        <v>14</v>
      </c>
      <c r="D221" s="143" t="s">
        <v>14</v>
      </c>
      <c r="E221" s="143" t="s">
        <v>16</v>
      </c>
      <c r="F221" s="143" t="s">
        <v>290</v>
      </c>
      <c r="G221" s="143" t="s">
        <v>11</v>
      </c>
      <c r="H221" s="143" t="s">
        <v>299</v>
      </c>
      <c r="I221" s="143"/>
      <c r="J221" s="147">
        <f t="shared" si="26"/>
        <v>220</v>
      </c>
      <c r="K221" s="147">
        <f t="shared" si="26"/>
        <v>220</v>
      </c>
      <c r="L221" s="147">
        <f t="shared" si="26"/>
        <v>211.3</v>
      </c>
    </row>
    <row r="222" spans="1:12" ht="15.75">
      <c r="A222" s="148" t="s">
        <v>127</v>
      </c>
      <c r="B222" s="143" t="s">
        <v>21</v>
      </c>
      <c r="C222" s="143" t="s">
        <v>14</v>
      </c>
      <c r="D222" s="143" t="s">
        <v>14</v>
      </c>
      <c r="E222" s="143" t="s">
        <v>16</v>
      </c>
      <c r="F222" s="143" t="s">
        <v>290</v>
      </c>
      <c r="G222" s="143" t="s">
        <v>11</v>
      </c>
      <c r="H222" s="143" t="s">
        <v>299</v>
      </c>
      <c r="I222" s="143" t="s">
        <v>117</v>
      </c>
      <c r="J222" s="147">
        <f>466-100-146</f>
        <v>220</v>
      </c>
      <c r="K222" s="147">
        <f>J222</f>
        <v>220</v>
      </c>
      <c r="L222" s="147">
        <v>211.3</v>
      </c>
    </row>
    <row r="223" spans="1:12" ht="15.75">
      <c r="A223" s="148" t="s">
        <v>482</v>
      </c>
      <c r="B223" s="143" t="s">
        <v>21</v>
      </c>
      <c r="C223" s="143" t="s">
        <v>61</v>
      </c>
      <c r="D223" s="143"/>
      <c r="E223" s="143"/>
      <c r="F223" s="143"/>
      <c r="G223" s="143"/>
      <c r="H223" s="143"/>
      <c r="I223" s="143"/>
      <c r="J223" s="147">
        <f>J224</f>
        <v>114.5</v>
      </c>
      <c r="K223" s="147">
        <f t="shared" ref="K223:L227" si="27">K224</f>
        <v>114.5</v>
      </c>
      <c r="L223" s="147">
        <f t="shared" si="27"/>
        <v>112</v>
      </c>
    </row>
    <row r="224" spans="1:12" ht="15.75">
      <c r="A224" s="148" t="s">
        <v>483</v>
      </c>
      <c r="B224" s="143" t="s">
        <v>21</v>
      </c>
      <c r="C224" s="143" t="s">
        <v>61</v>
      </c>
      <c r="D224" s="143" t="s">
        <v>14</v>
      </c>
      <c r="E224" s="143"/>
      <c r="F224" s="143"/>
      <c r="G224" s="143"/>
      <c r="H224" s="143"/>
      <c r="I224" s="143"/>
      <c r="J224" s="147">
        <f>J225</f>
        <v>114.5</v>
      </c>
      <c r="K224" s="147">
        <f t="shared" si="27"/>
        <v>114.5</v>
      </c>
      <c r="L224" s="147">
        <f t="shared" si="27"/>
        <v>112</v>
      </c>
    </row>
    <row r="225" spans="1:12" ht="15.75">
      <c r="A225" s="148" t="s">
        <v>54</v>
      </c>
      <c r="B225" s="143" t="s">
        <v>21</v>
      </c>
      <c r="C225" s="143" t="s">
        <v>61</v>
      </c>
      <c r="D225" s="143" t="s">
        <v>14</v>
      </c>
      <c r="E225" s="143" t="s">
        <v>42</v>
      </c>
      <c r="F225" s="144">
        <v>0</v>
      </c>
      <c r="G225" s="143" t="s">
        <v>118</v>
      </c>
      <c r="H225" s="143" t="s">
        <v>362</v>
      </c>
      <c r="I225" s="143"/>
      <c r="J225" s="147">
        <f>J226</f>
        <v>114.5</v>
      </c>
      <c r="K225" s="147">
        <f t="shared" si="27"/>
        <v>114.5</v>
      </c>
      <c r="L225" s="147">
        <f t="shared" si="27"/>
        <v>112</v>
      </c>
    </row>
    <row r="226" spans="1:12" ht="15.75">
      <c r="A226" s="148" t="s">
        <v>55</v>
      </c>
      <c r="B226" s="143" t="s">
        <v>21</v>
      </c>
      <c r="C226" s="143" t="s">
        <v>61</v>
      </c>
      <c r="D226" s="143" t="s">
        <v>14</v>
      </c>
      <c r="E226" s="143" t="s">
        <v>42</v>
      </c>
      <c r="F226" s="144">
        <v>9</v>
      </c>
      <c r="G226" s="143" t="s">
        <v>118</v>
      </c>
      <c r="H226" s="143" t="s">
        <v>362</v>
      </c>
      <c r="I226" s="143"/>
      <c r="J226" s="147">
        <f>J227</f>
        <v>114.5</v>
      </c>
      <c r="K226" s="147">
        <f t="shared" si="27"/>
        <v>114.5</v>
      </c>
      <c r="L226" s="147">
        <f t="shared" si="27"/>
        <v>112</v>
      </c>
    </row>
    <row r="227" spans="1:12" ht="31.5">
      <c r="A227" s="148" t="s">
        <v>476</v>
      </c>
      <c r="B227" s="143" t="s">
        <v>21</v>
      </c>
      <c r="C227" s="143" t="s">
        <v>61</v>
      </c>
      <c r="D227" s="143" t="s">
        <v>14</v>
      </c>
      <c r="E227" s="143" t="s">
        <v>42</v>
      </c>
      <c r="F227" s="143" t="s">
        <v>484</v>
      </c>
      <c r="G227" s="143" t="s">
        <v>118</v>
      </c>
      <c r="H227" s="143" t="s">
        <v>477</v>
      </c>
      <c r="I227" s="143"/>
      <c r="J227" s="147">
        <f>J228</f>
        <v>114.5</v>
      </c>
      <c r="K227" s="147">
        <f t="shared" si="27"/>
        <v>114.5</v>
      </c>
      <c r="L227" s="147">
        <f t="shared" si="27"/>
        <v>112</v>
      </c>
    </row>
    <row r="228" spans="1:12" ht="15.75">
      <c r="A228" s="148" t="s">
        <v>127</v>
      </c>
      <c r="B228" s="143" t="s">
        <v>21</v>
      </c>
      <c r="C228" s="143" t="s">
        <v>61</v>
      </c>
      <c r="D228" s="143" t="s">
        <v>14</v>
      </c>
      <c r="E228" s="143" t="s">
        <v>42</v>
      </c>
      <c r="F228" s="143" t="s">
        <v>484</v>
      </c>
      <c r="G228" s="143" t="s">
        <v>118</v>
      </c>
      <c r="H228" s="143" t="s">
        <v>477</v>
      </c>
      <c r="I228" s="143" t="s">
        <v>117</v>
      </c>
      <c r="J228" s="147">
        <v>114.5</v>
      </c>
      <c r="K228" s="147">
        <f>J228</f>
        <v>114.5</v>
      </c>
      <c r="L228" s="147">
        <v>112</v>
      </c>
    </row>
    <row r="229" spans="1:12" ht="15.75">
      <c r="A229" s="152" t="s">
        <v>253</v>
      </c>
      <c r="B229" s="143" t="s">
        <v>21</v>
      </c>
      <c r="C229" s="143" t="s">
        <v>16</v>
      </c>
      <c r="D229" s="143"/>
      <c r="E229" s="143"/>
      <c r="F229" s="144"/>
      <c r="G229" s="143"/>
      <c r="H229" s="143"/>
      <c r="I229" s="144"/>
      <c r="J229" s="145">
        <f>J230+J234</f>
        <v>2146</v>
      </c>
      <c r="K229" s="145">
        <f>K230+K234</f>
        <v>2146</v>
      </c>
      <c r="L229" s="145">
        <f>L230+L234</f>
        <v>2146</v>
      </c>
    </row>
    <row r="230" spans="1:12" ht="15.75">
      <c r="A230" s="153" t="s">
        <v>27</v>
      </c>
      <c r="B230" s="143" t="s">
        <v>21</v>
      </c>
      <c r="C230" s="143" t="s">
        <v>16</v>
      </c>
      <c r="D230" s="143" t="s">
        <v>14</v>
      </c>
      <c r="E230" s="143"/>
      <c r="F230" s="144"/>
      <c r="G230" s="143"/>
      <c r="H230" s="143"/>
      <c r="I230" s="144"/>
      <c r="J230" s="147">
        <f>J231</f>
        <v>25</v>
      </c>
      <c r="K230" s="147">
        <f t="shared" ref="K230:L232" si="28">K231</f>
        <v>25</v>
      </c>
      <c r="L230" s="147">
        <f t="shared" si="28"/>
        <v>25</v>
      </c>
    </row>
    <row r="231" spans="1:12" ht="47.25">
      <c r="A231" s="146" t="s">
        <v>422</v>
      </c>
      <c r="B231" s="143" t="s">
        <v>21</v>
      </c>
      <c r="C231" s="143" t="s">
        <v>16</v>
      </c>
      <c r="D231" s="143" t="s">
        <v>14</v>
      </c>
      <c r="E231" s="143" t="s">
        <v>22</v>
      </c>
      <c r="F231" s="144">
        <v>0</v>
      </c>
      <c r="G231" s="143" t="s">
        <v>282</v>
      </c>
      <c r="H231" s="143" t="s">
        <v>362</v>
      </c>
      <c r="I231" s="144"/>
      <c r="J231" s="147">
        <f>J232</f>
        <v>25</v>
      </c>
      <c r="K231" s="147">
        <f t="shared" si="28"/>
        <v>25</v>
      </c>
      <c r="L231" s="147">
        <f t="shared" si="28"/>
        <v>25</v>
      </c>
    </row>
    <row r="232" spans="1:12" ht="15.75">
      <c r="A232" s="148" t="s">
        <v>423</v>
      </c>
      <c r="B232" s="143" t="s">
        <v>21</v>
      </c>
      <c r="C232" s="143" t="s">
        <v>16</v>
      </c>
      <c r="D232" s="143" t="s">
        <v>14</v>
      </c>
      <c r="E232" s="143" t="s">
        <v>22</v>
      </c>
      <c r="F232" s="144">
        <v>0</v>
      </c>
      <c r="G232" s="143" t="s">
        <v>282</v>
      </c>
      <c r="H232" s="143" t="s">
        <v>424</v>
      </c>
      <c r="I232" s="144"/>
      <c r="J232" s="147">
        <f>J233</f>
        <v>25</v>
      </c>
      <c r="K232" s="147">
        <f t="shared" si="28"/>
        <v>25</v>
      </c>
      <c r="L232" s="147">
        <f t="shared" si="28"/>
        <v>25</v>
      </c>
    </row>
    <row r="233" spans="1:12" ht="15.75">
      <c r="A233" s="148" t="s">
        <v>127</v>
      </c>
      <c r="B233" s="143" t="s">
        <v>21</v>
      </c>
      <c r="C233" s="143" t="s">
        <v>16</v>
      </c>
      <c r="D233" s="143" t="s">
        <v>14</v>
      </c>
      <c r="E233" s="143" t="s">
        <v>22</v>
      </c>
      <c r="F233" s="144">
        <v>0</v>
      </c>
      <c r="G233" s="143" t="s">
        <v>282</v>
      </c>
      <c r="H233" s="143" t="s">
        <v>424</v>
      </c>
      <c r="I233" s="144">
        <v>240</v>
      </c>
      <c r="J233" s="147">
        <v>25</v>
      </c>
      <c r="K233" s="147">
        <f>J233</f>
        <v>25</v>
      </c>
      <c r="L233" s="147">
        <v>25</v>
      </c>
    </row>
    <row r="234" spans="1:12" ht="15.75">
      <c r="A234" s="146" t="s">
        <v>73</v>
      </c>
      <c r="B234" s="143" t="s">
        <v>21</v>
      </c>
      <c r="C234" s="143" t="s">
        <v>16</v>
      </c>
      <c r="D234" s="143" t="s">
        <v>16</v>
      </c>
      <c r="E234" s="143"/>
      <c r="F234" s="144"/>
      <c r="G234" s="143"/>
      <c r="H234" s="143"/>
      <c r="I234" s="144"/>
      <c r="J234" s="145">
        <f>J235</f>
        <v>2121</v>
      </c>
      <c r="K234" s="145">
        <f t="shared" ref="K234:L236" si="29">K235</f>
        <v>2121</v>
      </c>
      <c r="L234" s="145">
        <f t="shared" si="29"/>
        <v>2121</v>
      </c>
    </row>
    <row r="235" spans="1:12" ht="31.5">
      <c r="A235" s="148" t="s">
        <v>485</v>
      </c>
      <c r="B235" s="143" t="s">
        <v>21</v>
      </c>
      <c r="C235" s="143" t="s">
        <v>16</v>
      </c>
      <c r="D235" s="143" t="s">
        <v>16</v>
      </c>
      <c r="E235" s="143" t="s">
        <v>61</v>
      </c>
      <c r="F235" s="144">
        <v>0</v>
      </c>
      <c r="G235" s="143" t="s">
        <v>282</v>
      </c>
      <c r="H235" s="143" t="s">
        <v>362</v>
      </c>
      <c r="I235" s="144"/>
      <c r="J235" s="145">
        <f>J236</f>
        <v>2121</v>
      </c>
      <c r="K235" s="145">
        <f t="shared" si="29"/>
        <v>2121</v>
      </c>
      <c r="L235" s="145">
        <f t="shared" si="29"/>
        <v>2121</v>
      </c>
    </row>
    <row r="236" spans="1:12" ht="15.75">
      <c r="A236" s="146" t="s">
        <v>73</v>
      </c>
      <c r="B236" s="143" t="s">
        <v>21</v>
      </c>
      <c r="C236" s="143" t="s">
        <v>16</v>
      </c>
      <c r="D236" s="143" t="s">
        <v>16</v>
      </c>
      <c r="E236" s="143" t="s">
        <v>61</v>
      </c>
      <c r="F236" s="144">
        <v>1</v>
      </c>
      <c r="G236" s="143" t="s">
        <v>282</v>
      </c>
      <c r="H236" s="143" t="s">
        <v>362</v>
      </c>
      <c r="I236" s="144"/>
      <c r="J236" s="145">
        <f>J237</f>
        <v>2121</v>
      </c>
      <c r="K236" s="145">
        <f t="shared" si="29"/>
        <v>2121</v>
      </c>
      <c r="L236" s="145">
        <f t="shared" si="29"/>
        <v>2121</v>
      </c>
    </row>
    <row r="237" spans="1:12" ht="15.75">
      <c r="A237" s="146" t="s">
        <v>544</v>
      </c>
      <c r="B237" s="143" t="s">
        <v>21</v>
      </c>
      <c r="C237" s="143" t="s">
        <v>16</v>
      </c>
      <c r="D237" s="143" t="s">
        <v>16</v>
      </c>
      <c r="E237" s="143" t="s">
        <v>61</v>
      </c>
      <c r="F237" s="144">
        <v>1</v>
      </c>
      <c r="G237" s="143" t="s">
        <v>282</v>
      </c>
      <c r="H237" s="143" t="s">
        <v>545</v>
      </c>
      <c r="I237" s="144"/>
      <c r="J237" s="145">
        <f>J238</f>
        <v>2121</v>
      </c>
      <c r="K237" s="145">
        <f>K238</f>
        <v>2121</v>
      </c>
      <c r="L237" s="145">
        <f>L238</f>
        <v>2121</v>
      </c>
    </row>
    <row r="238" spans="1:12" ht="15.75">
      <c r="A238" s="148" t="s">
        <v>546</v>
      </c>
      <c r="B238" s="143" t="s">
        <v>21</v>
      </c>
      <c r="C238" s="143" t="s">
        <v>16</v>
      </c>
      <c r="D238" s="143" t="s">
        <v>16</v>
      </c>
      <c r="E238" s="143" t="s">
        <v>61</v>
      </c>
      <c r="F238" s="144">
        <v>1</v>
      </c>
      <c r="G238" s="143" t="s">
        <v>282</v>
      </c>
      <c r="H238" s="143" t="s">
        <v>545</v>
      </c>
      <c r="I238" s="144">
        <v>520</v>
      </c>
      <c r="J238" s="145">
        <f>2029.4+91.6</f>
        <v>2121</v>
      </c>
      <c r="K238" s="145">
        <f>J238</f>
        <v>2121</v>
      </c>
      <c r="L238" s="145">
        <v>2121</v>
      </c>
    </row>
    <row r="239" spans="1:12" ht="15.75">
      <c r="A239" s="152" t="s">
        <v>254</v>
      </c>
      <c r="B239" s="143" t="s">
        <v>21</v>
      </c>
      <c r="C239" s="143" t="s">
        <v>17</v>
      </c>
      <c r="D239" s="143"/>
      <c r="E239" s="143"/>
      <c r="F239" s="144"/>
      <c r="G239" s="143"/>
      <c r="H239" s="143"/>
      <c r="I239" s="144"/>
      <c r="J239" s="145">
        <f>J240+J271</f>
        <v>21841.600000000002</v>
      </c>
      <c r="K239" s="145">
        <f>K240+K271</f>
        <v>21841.600000000002</v>
      </c>
      <c r="L239" s="145">
        <f>L240+L271</f>
        <v>18027.699999999997</v>
      </c>
    </row>
    <row r="240" spans="1:12" ht="15.75">
      <c r="A240" s="146" t="s">
        <v>18</v>
      </c>
      <c r="B240" s="143" t="s">
        <v>21</v>
      </c>
      <c r="C240" s="143" t="s">
        <v>17</v>
      </c>
      <c r="D240" s="144" t="s">
        <v>9</v>
      </c>
      <c r="E240" s="143" t="s">
        <v>8</v>
      </c>
      <c r="F240" s="144"/>
      <c r="G240" s="143"/>
      <c r="H240" s="143"/>
      <c r="I240" s="144" t="s">
        <v>6</v>
      </c>
      <c r="J240" s="145">
        <f>J263+J241+J254+J259</f>
        <v>20921.2</v>
      </c>
      <c r="K240" s="145">
        <f>K263+K241+K254+K259</f>
        <v>20921.2</v>
      </c>
      <c r="L240" s="145">
        <f>L263+L241+L254+L259</f>
        <v>17199.099999999999</v>
      </c>
    </row>
    <row r="241" spans="1:12" ht="31.5">
      <c r="A241" s="148" t="s">
        <v>485</v>
      </c>
      <c r="B241" s="143" t="s">
        <v>21</v>
      </c>
      <c r="C241" s="143" t="s">
        <v>17</v>
      </c>
      <c r="D241" s="143" t="s">
        <v>9</v>
      </c>
      <c r="E241" s="143" t="s">
        <v>61</v>
      </c>
      <c r="F241" s="144">
        <v>0</v>
      </c>
      <c r="G241" s="143" t="s">
        <v>282</v>
      </c>
      <c r="H241" s="143" t="s">
        <v>362</v>
      </c>
      <c r="I241" s="144"/>
      <c r="J241" s="145">
        <f>J242+J251</f>
        <v>19412.7</v>
      </c>
      <c r="K241" s="145">
        <f>K242+K251</f>
        <v>19601</v>
      </c>
      <c r="L241" s="145">
        <f>L242+L251</f>
        <v>16079.5</v>
      </c>
    </row>
    <row r="242" spans="1:12" ht="15.75">
      <c r="A242" s="148" t="s">
        <v>74</v>
      </c>
      <c r="B242" s="143" t="s">
        <v>21</v>
      </c>
      <c r="C242" s="143" t="s">
        <v>17</v>
      </c>
      <c r="D242" s="143" t="s">
        <v>9</v>
      </c>
      <c r="E242" s="143" t="s">
        <v>61</v>
      </c>
      <c r="F242" s="144">
        <v>2</v>
      </c>
      <c r="G242" s="143" t="s">
        <v>282</v>
      </c>
      <c r="H242" s="143" t="s">
        <v>362</v>
      </c>
      <c r="I242" s="144"/>
      <c r="J242" s="145">
        <f>J243+J249+J247</f>
        <v>7240.9000000000005</v>
      </c>
      <c r="K242" s="145">
        <f>K243+K249+K247</f>
        <v>7429.2000000000007</v>
      </c>
      <c r="L242" s="145">
        <f>L243+L249+L247</f>
        <v>5100.7</v>
      </c>
    </row>
    <row r="243" spans="1:12" ht="15.75">
      <c r="A243" s="148" t="s">
        <v>70</v>
      </c>
      <c r="B243" s="143" t="s">
        <v>21</v>
      </c>
      <c r="C243" s="143" t="s">
        <v>17</v>
      </c>
      <c r="D243" s="143" t="s">
        <v>9</v>
      </c>
      <c r="E243" s="143" t="s">
        <v>61</v>
      </c>
      <c r="F243" s="144">
        <v>2</v>
      </c>
      <c r="G243" s="143" t="s">
        <v>282</v>
      </c>
      <c r="H243" s="143" t="s">
        <v>331</v>
      </c>
      <c r="I243" s="144"/>
      <c r="J243" s="145">
        <f>SUM(J244:J246)</f>
        <v>3733.5</v>
      </c>
      <c r="K243" s="145">
        <f>SUM(K244:K246)</f>
        <v>3921.8</v>
      </c>
      <c r="L243" s="145">
        <f>SUM(L244:L246)</f>
        <v>3572.8</v>
      </c>
    </row>
    <row r="244" spans="1:12" ht="15.75">
      <c r="A244" s="146" t="s">
        <v>105</v>
      </c>
      <c r="B244" s="143" t="s">
        <v>21</v>
      </c>
      <c r="C244" s="143" t="s">
        <v>17</v>
      </c>
      <c r="D244" s="143" t="s">
        <v>9</v>
      </c>
      <c r="E244" s="143" t="s">
        <v>61</v>
      </c>
      <c r="F244" s="144">
        <v>2</v>
      </c>
      <c r="G244" s="143" t="s">
        <v>282</v>
      </c>
      <c r="H244" s="143" t="s">
        <v>331</v>
      </c>
      <c r="I244" s="144">
        <v>110</v>
      </c>
      <c r="J244" s="145">
        <v>2281.5</v>
      </c>
      <c r="K244" s="145">
        <f>J244</f>
        <v>2281.5</v>
      </c>
      <c r="L244" s="145">
        <v>2206.9</v>
      </c>
    </row>
    <row r="245" spans="1:12" ht="15.75">
      <c r="A245" s="148" t="s">
        <v>127</v>
      </c>
      <c r="B245" s="143" t="s">
        <v>21</v>
      </c>
      <c r="C245" s="143" t="s">
        <v>17</v>
      </c>
      <c r="D245" s="143" t="s">
        <v>9</v>
      </c>
      <c r="E245" s="143" t="s">
        <v>61</v>
      </c>
      <c r="F245" s="144">
        <v>2</v>
      </c>
      <c r="G245" s="143" t="s">
        <v>282</v>
      </c>
      <c r="H245" s="143" t="s">
        <v>331</v>
      </c>
      <c r="I245" s="144">
        <v>240</v>
      </c>
      <c r="J245" s="145">
        <f>1432</f>
        <v>1432</v>
      </c>
      <c r="K245" s="145">
        <v>1620.3</v>
      </c>
      <c r="L245" s="145">
        <v>1365.7</v>
      </c>
    </row>
    <row r="246" spans="1:12" ht="15.75">
      <c r="A246" s="146" t="s">
        <v>107</v>
      </c>
      <c r="B246" s="143" t="s">
        <v>21</v>
      </c>
      <c r="C246" s="143" t="s">
        <v>17</v>
      </c>
      <c r="D246" s="143" t="s">
        <v>9</v>
      </c>
      <c r="E246" s="143" t="s">
        <v>61</v>
      </c>
      <c r="F246" s="144">
        <v>2</v>
      </c>
      <c r="G246" s="143" t="s">
        <v>282</v>
      </c>
      <c r="H246" s="143" t="s">
        <v>331</v>
      </c>
      <c r="I246" s="144">
        <v>850</v>
      </c>
      <c r="J246" s="145">
        <v>20</v>
      </c>
      <c r="K246" s="145">
        <f>J246</f>
        <v>20</v>
      </c>
      <c r="L246" s="145">
        <v>0.2</v>
      </c>
    </row>
    <row r="247" spans="1:12" ht="15.75">
      <c r="A247" s="148" t="s">
        <v>549</v>
      </c>
      <c r="B247" s="143" t="s">
        <v>21</v>
      </c>
      <c r="C247" s="143" t="s">
        <v>17</v>
      </c>
      <c r="D247" s="143" t="s">
        <v>9</v>
      </c>
      <c r="E247" s="143" t="s">
        <v>61</v>
      </c>
      <c r="F247" s="143" t="s">
        <v>290</v>
      </c>
      <c r="G247" s="143" t="s">
        <v>282</v>
      </c>
      <c r="H247" s="143" t="s">
        <v>550</v>
      </c>
      <c r="I247" s="143"/>
      <c r="J247" s="147">
        <f>J248</f>
        <v>518.1</v>
      </c>
      <c r="K247" s="147">
        <f>K248</f>
        <v>518.1</v>
      </c>
      <c r="L247" s="147">
        <f>L248</f>
        <v>225.7</v>
      </c>
    </row>
    <row r="248" spans="1:12" ht="15.75">
      <c r="A248" s="148" t="s">
        <v>127</v>
      </c>
      <c r="B248" s="143" t="s">
        <v>21</v>
      </c>
      <c r="C248" s="143" t="s">
        <v>17</v>
      </c>
      <c r="D248" s="143" t="s">
        <v>9</v>
      </c>
      <c r="E248" s="143" t="s">
        <v>61</v>
      </c>
      <c r="F248" s="143" t="s">
        <v>290</v>
      </c>
      <c r="G248" s="143" t="s">
        <v>282</v>
      </c>
      <c r="H248" s="143" t="s">
        <v>550</v>
      </c>
      <c r="I248" s="143" t="s">
        <v>117</v>
      </c>
      <c r="J248" s="147">
        <v>518.1</v>
      </c>
      <c r="K248" s="147">
        <f>J248</f>
        <v>518.1</v>
      </c>
      <c r="L248" s="147">
        <v>225.7</v>
      </c>
    </row>
    <row r="249" spans="1:12" ht="31.5">
      <c r="A249" s="148" t="s">
        <v>547</v>
      </c>
      <c r="B249" s="143" t="s">
        <v>21</v>
      </c>
      <c r="C249" s="143" t="s">
        <v>17</v>
      </c>
      <c r="D249" s="143" t="s">
        <v>9</v>
      </c>
      <c r="E249" s="143" t="s">
        <v>61</v>
      </c>
      <c r="F249" s="143" t="s">
        <v>290</v>
      </c>
      <c r="G249" s="143" t="s">
        <v>282</v>
      </c>
      <c r="H249" s="143" t="s">
        <v>548</v>
      </c>
      <c r="I249" s="143"/>
      <c r="J249" s="147">
        <f>J250</f>
        <v>2989.3</v>
      </c>
      <c r="K249" s="147">
        <f>K250</f>
        <v>2989.3</v>
      </c>
      <c r="L249" s="147">
        <f>L250</f>
        <v>1302.2</v>
      </c>
    </row>
    <row r="250" spans="1:12" ht="31.5">
      <c r="A250" s="148" t="s">
        <v>127</v>
      </c>
      <c r="B250" s="143" t="s">
        <v>21</v>
      </c>
      <c r="C250" s="143" t="s">
        <v>17</v>
      </c>
      <c r="D250" s="143" t="s">
        <v>9</v>
      </c>
      <c r="E250" s="143" t="s">
        <v>61</v>
      </c>
      <c r="F250" s="143" t="s">
        <v>290</v>
      </c>
      <c r="G250" s="143" t="s">
        <v>282</v>
      </c>
      <c r="H250" s="143" t="s">
        <v>548</v>
      </c>
      <c r="I250" s="143" t="s">
        <v>117</v>
      </c>
      <c r="J250" s="147">
        <v>2989.3</v>
      </c>
      <c r="K250" s="147">
        <f>J250</f>
        <v>2989.3</v>
      </c>
      <c r="L250" s="147">
        <v>1302.2</v>
      </c>
    </row>
    <row r="251" spans="1:12" ht="15.75">
      <c r="A251" s="148" t="s">
        <v>376</v>
      </c>
      <c r="B251" s="143" t="s">
        <v>21</v>
      </c>
      <c r="C251" s="143" t="s">
        <v>17</v>
      </c>
      <c r="D251" s="143" t="s">
        <v>9</v>
      </c>
      <c r="E251" s="143" t="s">
        <v>61</v>
      </c>
      <c r="F251" s="144">
        <v>5</v>
      </c>
      <c r="G251" s="143" t="s">
        <v>282</v>
      </c>
      <c r="H251" s="143" t="s">
        <v>362</v>
      </c>
      <c r="I251" s="144"/>
      <c r="J251" s="145">
        <f t="shared" ref="J251:L252" si="30">J252</f>
        <v>12171.8</v>
      </c>
      <c r="K251" s="145">
        <f t="shared" si="30"/>
        <v>12171.8</v>
      </c>
      <c r="L251" s="145">
        <f t="shared" si="30"/>
        <v>10978.8</v>
      </c>
    </row>
    <row r="252" spans="1:12" ht="15.75">
      <c r="A252" s="148" t="s">
        <v>70</v>
      </c>
      <c r="B252" s="143" t="s">
        <v>21</v>
      </c>
      <c r="C252" s="143" t="s">
        <v>17</v>
      </c>
      <c r="D252" s="143" t="s">
        <v>9</v>
      </c>
      <c r="E252" s="143" t="s">
        <v>61</v>
      </c>
      <c r="F252" s="144">
        <v>5</v>
      </c>
      <c r="G252" s="143" t="s">
        <v>282</v>
      </c>
      <c r="H252" s="143" t="s">
        <v>331</v>
      </c>
      <c r="I252" s="144"/>
      <c r="J252" s="145">
        <f t="shared" si="30"/>
        <v>12171.8</v>
      </c>
      <c r="K252" s="145">
        <f t="shared" si="30"/>
        <v>12171.8</v>
      </c>
      <c r="L252" s="145">
        <f t="shared" si="30"/>
        <v>10978.8</v>
      </c>
    </row>
    <row r="253" spans="1:12" ht="15.75">
      <c r="A253" s="146" t="s">
        <v>377</v>
      </c>
      <c r="B253" s="143" t="s">
        <v>21</v>
      </c>
      <c r="C253" s="143" t="s">
        <v>17</v>
      </c>
      <c r="D253" s="143" t="s">
        <v>9</v>
      </c>
      <c r="E253" s="143" t="s">
        <v>61</v>
      </c>
      <c r="F253" s="144">
        <v>5</v>
      </c>
      <c r="G253" s="143" t="s">
        <v>282</v>
      </c>
      <c r="H253" s="143" t="s">
        <v>331</v>
      </c>
      <c r="I253" s="144">
        <v>620</v>
      </c>
      <c r="J253" s="145">
        <f>8371.5+4100.3-300</f>
        <v>12171.8</v>
      </c>
      <c r="K253" s="145">
        <f>J253</f>
        <v>12171.8</v>
      </c>
      <c r="L253" s="145">
        <v>10978.8</v>
      </c>
    </row>
    <row r="254" spans="1:12" ht="31.5">
      <c r="A254" s="146" t="s">
        <v>122</v>
      </c>
      <c r="B254" s="143" t="s">
        <v>21</v>
      </c>
      <c r="C254" s="143" t="s">
        <v>17</v>
      </c>
      <c r="D254" s="143" t="s">
        <v>9</v>
      </c>
      <c r="E254" s="143" t="s">
        <v>16</v>
      </c>
      <c r="F254" s="144">
        <v>0</v>
      </c>
      <c r="G254" s="143" t="s">
        <v>282</v>
      </c>
      <c r="H254" s="143" t="s">
        <v>362</v>
      </c>
      <c r="I254" s="144"/>
      <c r="J254" s="147">
        <f t="shared" ref="J254:L257" si="31">J255</f>
        <v>76.400000000000006</v>
      </c>
      <c r="K254" s="147">
        <f t="shared" si="31"/>
        <v>76.400000000000006</v>
      </c>
      <c r="L254" s="147">
        <f t="shared" si="31"/>
        <v>0.8</v>
      </c>
    </row>
    <row r="255" spans="1:12" ht="15.75">
      <c r="A255" s="146" t="s">
        <v>121</v>
      </c>
      <c r="B255" s="143" t="s">
        <v>21</v>
      </c>
      <c r="C255" s="143" t="s">
        <v>17</v>
      </c>
      <c r="D255" s="143" t="s">
        <v>9</v>
      </c>
      <c r="E255" s="143" t="s">
        <v>16</v>
      </c>
      <c r="F255" s="144">
        <v>3</v>
      </c>
      <c r="G255" s="143" t="s">
        <v>282</v>
      </c>
      <c r="H255" s="143" t="s">
        <v>362</v>
      </c>
      <c r="I255" s="144"/>
      <c r="J255" s="147">
        <f t="shared" si="31"/>
        <v>76.400000000000006</v>
      </c>
      <c r="K255" s="147">
        <f t="shared" si="31"/>
        <v>76.400000000000006</v>
      </c>
      <c r="L255" s="147">
        <f t="shared" si="31"/>
        <v>0.8</v>
      </c>
    </row>
    <row r="256" spans="1:12" ht="15.75">
      <c r="A256" s="146" t="s">
        <v>298</v>
      </c>
      <c r="B256" s="143" t="s">
        <v>21</v>
      </c>
      <c r="C256" s="143" t="s">
        <v>17</v>
      </c>
      <c r="D256" s="143" t="s">
        <v>9</v>
      </c>
      <c r="E256" s="143" t="s">
        <v>16</v>
      </c>
      <c r="F256" s="144">
        <v>3</v>
      </c>
      <c r="G256" s="143" t="s">
        <v>9</v>
      </c>
      <c r="H256" s="143" t="s">
        <v>362</v>
      </c>
      <c r="I256" s="144"/>
      <c r="J256" s="147">
        <f t="shared" si="31"/>
        <v>76.400000000000006</v>
      </c>
      <c r="K256" s="147">
        <f t="shared" si="31"/>
        <v>76.400000000000006</v>
      </c>
      <c r="L256" s="147">
        <f t="shared" si="31"/>
        <v>0.8</v>
      </c>
    </row>
    <row r="257" spans="1:12" ht="31.5">
      <c r="A257" s="148" t="s">
        <v>115</v>
      </c>
      <c r="B257" s="143" t="s">
        <v>21</v>
      </c>
      <c r="C257" s="143" t="s">
        <v>17</v>
      </c>
      <c r="D257" s="143" t="s">
        <v>9</v>
      </c>
      <c r="E257" s="143" t="s">
        <v>16</v>
      </c>
      <c r="F257" s="143" t="s">
        <v>120</v>
      </c>
      <c r="G257" s="143" t="s">
        <v>9</v>
      </c>
      <c r="H257" s="143" t="s">
        <v>299</v>
      </c>
      <c r="I257" s="143"/>
      <c r="J257" s="147">
        <f t="shared" si="31"/>
        <v>76.400000000000006</v>
      </c>
      <c r="K257" s="147">
        <f t="shared" si="31"/>
        <v>76.400000000000006</v>
      </c>
      <c r="L257" s="147">
        <f t="shared" si="31"/>
        <v>0.8</v>
      </c>
    </row>
    <row r="258" spans="1:12" ht="15.75">
      <c r="A258" s="148" t="s">
        <v>127</v>
      </c>
      <c r="B258" s="143" t="s">
        <v>21</v>
      </c>
      <c r="C258" s="143" t="s">
        <v>17</v>
      </c>
      <c r="D258" s="143" t="s">
        <v>9</v>
      </c>
      <c r="E258" s="143" t="s">
        <v>16</v>
      </c>
      <c r="F258" s="143" t="s">
        <v>120</v>
      </c>
      <c r="G258" s="143" t="s">
        <v>9</v>
      </c>
      <c r="H258" s="143" t="s">
        <v>299</v>
      </c>
      <c r="I258" s="143" t="s">
        <v>117</v>
      </c>
      <c r="J258" s="147">
        <f>71.4+5</f>
        <v>76.400000000000006</v>
      </c>
      <c r="K258" s="147">
        <f>J258</f>
        <v>76.400000000000006</v>
      </c>
      <c r="L258" s="147">
        <v>0.8</v>
      </c>
    </row>
    <row r="259" spans="1:12" ht="31.5">
      <c r="A259" s="146" t="s">
        <v>468</v>
      </c>
      <c r="B259" s="143" t="s">
        <v>21</v>
      </c>
      <c r="C259" s="143" t="s">
        <v>17</v>
      </c>
      <c r="D259" s="143" t="s">
        <v>9</v>
      </c>
      <c r="E259" s="143" t="s">
        <v>33</v>
      </c>
      <c r="F259" s="144">
        <v>0</v>
      </c>
      <c r="G259" s="143" t="s">
        <v>282</v>
      </c>
      <c r="H259" s="143" t="s">
        <v>362</v>
      </c>
      <c r="I259" s="144"/>
      <c r="J259" s="147">
        <f>J260</f>
        <v>468.30000000000007</v>
      </c>
      <c r="K259" s="147">
        <f t="shared" ref="K259:L261" si="32">K260</f>
        <v>280</v>
      </c>
      <c r="L259" s="147">
        <f t="shared" si="32"/>
        <v>280</v>
      </c>
    </row>
    <row r="260" spans="1:12" ht="15.75">
      <c r="A260" s="148" t="s">
        <v>335</v>
      </c>
      <c r="B260" s="143" t="s">
        <v>21</v>
      </c>
      <c r="C260" s="143" t="s">
        <v>17</v>
      </c>
      <c r="D260" s="143" t="s">
        <v>9</v>
      </c>
      <c r="E260" s="143" t="s">
        <v>33</v>
      </c>
      <c r="F260" s="143" t="s">
        <v>118</v>
      </c>
      <c r="G260" s="143" t="s">
        <v>9</v>
      </c>
      <c r="H260" s="143" t="s">
        <v>362</v>
      </c>
      <c r="I260" s="143"/>
      <c r="J260" s="147">
        <f>J261</f>
        <v>468.30000000000007</v>
      </c>
      <c r="K260" s="147">
        <f t="shared" si="32"/>
        <v>280</v>
      </c>
      <c r="L260" s="147">
        <f t="shared" si="32"/>
        <v>280</v>
      </c>
    </row>
    <row r="261" spans="1:12" ht="15.75">
      <c r="A261" s="148" t="s">
        <v>336</v>
      </c>
      <c r="B261" s="143" t="s">
        <v>21</v>
      </c>
      <c r="C261" s="143" t="s">
        <v>17</v>
      </c>
      <c r="D261" s="143" t="s">
        <v>9</v>
      </c>
      <c r="E261" s="143" t="s">
        <v>33</v>
      </c>
      <c r="F261" s="143" t="s">
        <v>118</v>
      </c>
      <c r="G261" s="143" t="s">
        <v>9</v>
      </c>
      <c r="H261" s="143" t="s">
        <v>337</v>
      </c>
      <c r="I261" s="143"/>
      <c r="J261" s="147">
        <f>J262</f>
        <v>468.30000000000007</v>
      </c>
      <c r="K261" s="147">
        <f t="shared" si="32"/>
        <v>280</v>
      </c>
      <c r="L261" s="147">
        <f t="shared" si="32"/>
        <v>280</v>
      </c>
    </row>
    <row r="262" spans="1:12" ht="15.75">
      <c r="A262" s="148" t="s">
        <v>127</v>
      </c>
      <c r="B262" s="143" t="s">
        <v>21</v>
      </c>
      <c r="C262" s="143" t="s">
        <v>17</v>
      </c>
      <c r="D262" s="143" t="s">
        <v>9</v>
      </c>
      <c r="E262" s="143" t="s">
        <v>33</v>
      </c>
      <c r="F262" s="143" t="s">
        <v>118</v>
      </c>
      <c r="G262" s="143" t="s">
        <v>9</v>
      </c>
      <c r="H262" s="143" t="s">
        <v>337</v>
      </c>
      <c r="I262" s="143" t="s">
        <v>117</v>
      </c>
      <c r="J262" s="147">
        <f>1286.4-518.1-300</f>
        <v>468.30000000000007</v>
      </c>
      <c r="K262" s="147">
        <v>280</v>
      </c>
      <c r="L262" s="147">
        <v>280</v>
      </c>
    </row>
    <row r="263" spans="1:12" ht="15.75">
      <c r="A263" s="148" t="s">
        <v>54</v>
      </c>
      <c r="B263" s="143" t="s">
        <v>21</v>
      </c>
      <c r="C263" s="143" t="s">
        <v>17</v>
      </c>
      <c r="D263" s="143" t="s">
        <v>9</v>
      </c>
      <c r="E263" s="143" t="s">
        <v>42</v>
      </c>
      <c r="F263" s="144">
        <v>0</v>
      </c>
      <c r="G263" s="143" t="s">
        <v>118</v>
      </c>
      <c r="H263" s="143" t="s">
        <v>362</v>
      </c>
      <c r="I263" s="144"/>
      <c r="J263" s="145">
        <f>J264</f>
        <v>963.80000000000007</v>
      </c>
      <c r="K263" s="145">
        <f>K264</f>
        <v>963.80000000000007</v>
      </c>
      <c r="L263" s="145">
        <f>L264</f>
        <v>838.8</v>
      </c>
    </row>
    <row r="264" spans="1:12" ht="15.75">
      <c r="A264" s="148" t="s">
        <v>55</v>
      </c>
      <c r="B264" s="143" t="s">
        <v>21</v>
      </c>
      <c r="C264" s="143" t="s">
        <v>17</v>
      </c>
      <c r="D264" s="143" t="s">
        <v>9</v>
      </c>
      <c r="E264" s="143" t="s">
        <v>42</v>
      </c>
      <c r="F264" s="144">
        <v>9</v>
      </c>
      <c r="G264" s="143" t="s">
        <v>118</v>
      </c>
      <c r="H264" s="143" t="s">
        <v>362</v>
      </c>
      <c r="I264" s="144"/>
      <c r="J264" s="145">
        <f>J265+J267+J269</f>
        <v>963.80000000000007</v>
      </c>
      <c r="K264" s="145">
        <f>K265+K267+K269</f>
        <v>963.80000000000007</v>
      </c>
      <c r="L264" s="145">
        <f>L265+L267+L269</f>
        <v>838.8</v>
      </c>
    </row>
    <row r="265" spans="1:12" ht="15.75">
      <c r="A265" s="148" t="s">
        <v>551</v>
      </c>
      <c r="B265" s="143" t="s">
        <v>21</v>
      </c>
      <c r="C265" s="143" t="s">
        <v>17</v>
      </c>
      <c r="D265" s="143" t="s">
        <v>9</v>
      </c>
      <c r="E265" s="143" t="s">
        <v>42</v>
      </c>
      <c r="F265" s="144">
        <v>9</v>
      </c>
      <c r="G265" s="143" t="s">
        <v>118</v>
      </c>
      <c r="H265" s="143" t="s">
        <v>552</v>
      </c>
      <c r="I265" s="144"/>
      <c r="J265" s="145">
        <f>J266</f>
        <v>20</v>
      </c>
      <c r="K265" s="145">
        <f>K266</f>
        <v>20</v>
      </c>
      <c r="L265" s="145">
        <f>L266</f>
        <v>20</v>
      </c>
    </row>
    <row r="266" spans="1:12" ht="15.75">
      <c r="A266" s="148" t="s">
        <v>127</v>
      </c>
      <c r="B266" s="143" t="s">
        <v>21</v>
      </c>
      <c r="C266" s="143" t="s">
        <v>17</v>
      </c>
      <c r="D266" s="143" t="s">
        <v>9</v>
      </c>
      <c r="E266" s="143" t="s">
        <v>42</v>
      </c>
      <c r="F266" s="144">
        <v>9</v>
      </c>
      <c r="G266" s="143" t="s">
        <v>118</v>
      </c>
      <c r="H266" s="143" t="s">
        <v>552</v>
      </c>
      <c r="I266" s="144">
        <v>240</v>
      </c>
      <c r="J266" s="145">
        <f>80-60</f>
        <v>20</v>
      </c>
      <c r="K266" s="145">
        <f>J266</f>
        <v>20</v>
      </c>
      <c r="L266" s="145">
        <v>20</v>
      </c>
    </row>
    <row r="267" spans="1:12" ht="47.25">
      <c r="A267" s="148" t="s">
        <v>37</v>
      </c>
      <c r="B267" s="143" t="s">
        <v>21</v>
      </c>
      <c r="C267" s="143" t="s">
        <v>17</v>
      </c>
      <c r="D267" s="143" t="s">
        <v>9</v>
      </c>
      <c r="E267" s="143" t="s">
        <v>42</v>
      </c>
      <c r="F267" s="144">
        <v>9</v>
      </c>
      <c r="G267" s="143" t="s">
        <v>282</v>
      </c>
      <c r="H267" s="143" t="s">
        <v>338</v>
      </c>
      <c r="I267" s="144"/>
      <c r="J267" s="145">
        <f>J268</f>
        <v>405</v>
      </c>
      <c r="K267" s="145">
        <f>K268</f>
        <v>405</v>
      </c>
      <c r="L267" s="145">
        <f>L268</f>
        <v>362.5</v>
      </c>
    </row>
    <row r="268" spans="1:12" ht="15.75">
      <c r="A268" s="148" t="s">
        <v>339</v>
      </c>
      <c r="B268" s="143" t="s">
        <v>21</v>
      </c>
      <c r="C268" s="143" t="s">
        <v>17</v>
      </c>
      <c r="D268" s="143" t="s">
        <v>9</v>
      </c>
      <c r="E268" s="143" t="s">
        <v>42</v>
      </c>
      <c r="F268" s="144">
        <v>9</v>
      </c>
      <c r="G268" s="143" t="s">
        <v>282</v>
      </c>
      <c r="H268" s="143" t="s">
        <v>338</v>
      </c>
      <c r="I268" s="144">
        <v>110</v>
      </c>
      <c r="J268" s="145">
        <f>367+38</f>
        <v>405</v>
      </c>
      <c r="K268" s="145">
        <f>J268</f>
        <v>405</v>
      </c>
      <c r="L268" s="145">
        <v>362.5</v>
      </c>
    </row>
    <row r="269" spans="1:12" ht="31.5">
      <c r="A269" s="148" t="s">
        <v>361</v>
      </c>
      <c r="B269" s="143" t="s">
        <v>21</v>
      </c>
      <c r="C269" s="143" t="s">
        <v>17</v>
      </c>
      <c r="D269" s="143" t="s">
        <v>9</v>
      </c>
      <c r="E269" s="143" t="s">
        <v>42</v>
      </c>
      <c r="F269" s="144">
        <v>9</v>
      </c>
      <c r="G269" s="143" t="s">
        <v>282</v>
      </c>
      <c r="H269" s="143" t="s">
        <v>425</v>
      </c>
      <c r="I269" s="144"/>
      <c r="J269" s="145">
        <f>J270</f>
        <v>538.80000000000007</v>
      </c>
      <c r="K269" s="145">
        <f>K270</f>
        <v>538.80000000000007</v>
      </c>
      <c r="L269" s="145">
        <f>L270</f>
        <v>456.3</v>
      </c>
    </row>
    <row r="270" spans="1:12" ht="31.5">
      <c r="A270" s="146" t="s">
        <v>377</v>
      </c>
      <c r="B270" s="143" t="s">
        <v>21</v>
      </c>
      <c r="C270" s="143" t="s">
        <v>17</v>
      </c>
      <c r="D270" s="143" t="s">
        <v>9</v>
      </c>
      <c r="E270" s="143" t="s">
        <v>42</v>
      </c>
      <c r="F270" s="144">
        <v>9</v>
      </c>
      <c r="G270" s="143" t="s">
        <v>282</v>
      </c>
      <c r="H270" s="143" t="s">
        <v>425</v>
      </c>
      <c r="I270" s="144">
        <v>620</v>
      </c>
      <c r="J270" s="145">
        <f>553.2-14.4</f>
        <v>538.80000000000007</v>
      </c>
      <c r="K270" s="145">
        <f>J270</f>
        <v>538.80000000000007</v>
      </c>
      <c r="L270" s="145">
        <v>456.3</v>
      </c>
    </row>
    <row r="271" spans="1:12" ht="15.75">
      <c r="A271" s="146" t="s">
        <v>30</v>
      </c>
      <c r="B271" s="143" t="s">
        <v>21</v>
      </c>
      <c r="C271" s="143" t="s">
        <v>17</v>
      </c>
      <c r="D271" s="143" t="s">
        <v>13</v>
      </c>
      <c r="E271" s="143"/>
      <c r="F271" s="144"/>
      <c r="G271" s="143"/>
      <c r="H271" s="143"/>
      <c r="I271" s="144"/>
      <c r="J271" s="147">
        <f t="shared" ref="J271:L272" si="33">J272</f>
        <v>920.40000000000009</v>
      </c>
      <c r="K271" s="147">
        <f t="shared" si="33"/>
        <v>920.40000000000009</v>
      </c>
      <c r="L271" s="147">
        <f t="shared" si="33"/>
        <v>828.6</v>
      </c>
    </row>
    <row r="272" spans="1:12" ht="31.5">
      <c r="A272" s="148" t="s">
        <v>485</v>
      </c>
      <c r="B272" s="143" t="s">
        <v>21</v>
      </c>
      <c r="C272" s="143" t="s">
        <v>17</v>
      </c>
      <c r="D272" s="143" t="s">
        <v>13</v>
      </c>
      <c r="E272" s="143" t="s">
        <v>61</v>
      </c>
      <c r="F272" s="144">
        <v>0</v>
      </c>
      <c r="G272" s="143" t="s">
        <v>282</v>
      </c>
      <c r="H272" s="143" t="s">
        <v>362</v>
      </c>
      <c r="I272" s="144"/>
      <c r="J272" s="147">
        <f t="shared" si="33"/>
        <v>920.40000000000009</v>
      </c>
      <c r="K272" s="147">
        <f t="shared" si="33"/>
        <v>920.40000000000009</v>
      </c>
      <c r="L272" s="147">
        <f t="shared" si="33"/>
        <v>828.6</v>
      </c>
    </row>
    <row r="273" spans="1:12" ht="15.75">
      <c r="A273" s="148" t="s">
        <v>75</v>
      </c>
      <c r="B273" s="143" t="s">
        <v>21</v>
      </c>
      <c r="C273" s="143" t="s">
        <v>17</v>
      </c>
      <c r="D273" s="143" t="s">
        <v>13</v>
      </c>
      <c r="E273" s="143" t="s">
        <v>61</v>
      </c>
      <c r="F273" s="144">
        <v>3</v>
      </c>
      <c r="G273" s="143" t="s">
        <v>282</v>
      </c>
      <c r="H273" s="143" t="s">
        <v>362</v>
      </c>
      <c r="I273" s="144"/>
      <c r="J273" s="147">
        <f>J274+J276+J278</f>
        <v>920.40000000000009</v>
      </c>
      <c r="K273" s="147">
        <f>K274+K276+K278</f>
        <v>920.40000000000009</v>
      </c>
      <c r="L273" s="147">
        <f>L274+L276+L278</f>
        <v>828.6</v>
      </c>
    </row>
    <row r="274" spans="1:12" ht="15.75">
      <c r="A274" s="148" t="s">
        <v>76</v>
      </c>
      <c r="B274" s="143" t="s">
        <v>21</v>
      </c>
      <c r="C274" s="143" t="s">
        <v>17</v>
      </c>
      <c r="D274" s="143" t="s">
        <v>13</v>
      </c>
      <c r="E274" s="143" t="s">
        <v>61</v>
      </c>
      <c r="F274" s="144">
        <v>3</v>
      </c>
      <c r="G274" s="143" t="s">
        <v>282</v>
      </c>
      <c r="H274" s="143" t="s">
        <v>340</v>
      </c>
      <c r="I274" s="144"/>
      <c r="J274" s="147">
        <f>J275</f>
        <v>100</v>
      </c>
      <c r="K274" s="147">
        <f>K275</f>
        <v>100</v>
      </c>
      <c r="L274" s="147">
        <f>L275</f>
        <v>100</v>
      </c>
    </row>
    <row r="275" spans="1:12" ht="15.75">
      <c r="A275" s="148" t="s">
        <v>426</v>
      </c>
      <c r="B275" s="143" t="s">
        <v>21</v>
      </c>
      <c r="C275" s="143" t="s">
        <v>17</v>
      </c>
      <c r="D275" s="143" t="s">
        <v>13</v>
      </c>
      <c r="E275" s="143" t="s">
        <v>61</v>
      </c>
      <c r="F275" s="144">
        <v>3</v>
      </c>
      <c r="G275" s="143" t="s">
        <v>282</v>
      </c>
      <c r="H275" s="143" t="s">
        <v>340</v>
      </c>
      <c r="I275" s="144">
        <v>350</v>
      </c>
      <c r="J275" s="147">
        <v>100</v>
      </c>
      <c r="K275" s="147">
        <f>J275</f>
        <v>100</v>
      </c>
      <c r="L275" s="147">
        <v>100</v>
      </c>
    </row>
    <row r="276" spans="1:12" ht="15.75">
      <c r="A276" s="148" t="s">
        <v>77</v>
      </c>
      <c r="B276" s="143" t="s">
        <v>21</v>
      </c>
      <c r="C276" s="143" t="s">
        <v>17</v>
      </c>
      <c r="D276" s="143" t="s">
        <v>13</v>
      </c>
      <c r="E276" s="143" t="s">
        <v>61</v>
      </c>
      <c r="F276" s="144">
        <v>3</v>
      </c>
      <c r="G276" s="143" t="s">
        <v>282</v>
      </c>
      <c r="H276" s="143" t="s">
        <v>341</v>
      </c>
      <c r="I276" s="144"/>
      <c r="J276" s="147">
        <f>J277</f>
        <v>135.20000000000005</v>
      </c>
      <c r="K276" s="147">
        <f>K277</f>
        <v>135.20000000000005</v>
      </c>
      <c r="L276" s="147">
        <f>L277</f>
        <v>107.4</v>
      </c>
    </row>
    <row r="277" spans="1:12" ht="15.75">
      <c r="A277" s="148" t="s">
        <v>127</v>
      </c>
      <c r="B277" s="143" t="s">
        <v>21</v>
      </c>
      <c r="C277" s="143" t="s">
        <v>17</v>
      </c>
      <c r="D277" s="143" t="s">
        <v>13</v>
      </c>
      <c r="E277" s="143" t="s">
        <v>61</v>
      </c>
      <c r="F277" s="144">
        <v>3</v>
      </c>
      <c r="G277" s="143" t="s">
        <v>282</v>
      </c>
      <c r="H277" s="143" t="s">
        <v>341</v>
      </c>
      <c r="I277" s="144">
        <v>240</v>
      </c>
      <c r="J277" s="147">
        <f>1300-1164.8</f>
        <v>135.20000000000005</v>
      </c>
      <c r="K277" s="147">
        <f>J277</f>
        <v>135.20000000000005</v>
      </c>
      <c r="L277" s="147">
        <v>107.4</v>
      </c>
    </row>
    <row r="278" spans="1:12" ht="15.75">
      <c r="A278" s="148" t="s">
        <v>72</v>
      </c>
      <c r="B278" s="143" t="s">
        <v>21</v>
      </c>
      <c r="C278" s="143" t="s">
        <v>17</v>
      </c>
      <c r="D278" s="143" t="s">
        <v>13</v>
      </c>
      <c r="E278" s="143" t="s">
        <v>61</v>
      </c>
      <c r="F278" s="144">
        <v>3</v>
      </c>
      <c r="G278" s="143" t="s">
        <v>282</v>
      </c>
      <c r="H278" s="143" t="s">
        <v>334</v>
      </c>
      <c r="I278" s="144"/>
      <c r="J278" s="147">
        <f>J279</f>
        <v>685.2</v>
      </c>
      <c r="K278" s="147">
        <f>K279</f>
        <v>685.2</v>
      </c>
      <c r="L278" s="147">
        <f>L279</f>
        <v>621.20000000000005</v>
      </c>
    </row>
    <row r="279" spans="1:12" ht="15.75">
      <c r="A279" s="148" t="s">
        <v>127</v>
      </c>
      <c r="B279" s="143" t="s">
        <v>21</v>
      </c>
      <c r="C279" s="143" t="s">
        <v>17</v>
      </c>
      <c r="D279" s="143" t="s">
        <v>13</v>
      </c>
      <c r="E279" s="143" t="s">
        <v>61</v>
      </c>
      <c r="F279" s="144">
        <v>3</v>
      </c>
      <c r="G279" s="143" t="s">
        <v>282</v>
      </c>
      <c r="H279" s="143" t="s">
        <v>334</v>
      </c>
      <c r="I279" s="144">
        <v>240</v>
      </c>
      <c r="J279" s="147">
        <f>370+377-61.8</f>
        <v>685.2</v>
      </c>
      <c r="K279" s="147">
        <f>J279</f>
        <v>685.2</v>
      </c>
      <c r="L279" s="147">
        <v>621.20000000000005</v>
      </c>
    </row>
    <row r="280" spans="1:12" ht="15.75">
      <c r="A280" s="152" t="s">
        <v>255</v>
      </c>
      <c r="B280" s="143" t="s">
        <v>21</v>
      </c>
      <c r="C280" s="143">
        <v>10</v>
      </c>
      <c r="D280" s="143"/>
      <c r="E280" s="143"/>
      <c r="F280" s="144"/>
      <c r="G280" s="143"/>
      <c r="H280" s="143"/>
      <c r="I280" s="144"/>
      <c r="J280" s="147">
        <f>J281</f>
        <v>705</v>
      </c>
      <c r="K280" s="147">
        <f>K281</f>
        <v>705</v>
      </c>
      <c r="L280" s="147">
        <f>L281</f>
        <v>656.4</v>
      </c>
    </row>
    <row r="281" spans="1:12" ht="15.75">
      <c r="A281" s="146" t="s">
        <v>36</v>
      </c>
      <c r="B281" s="143" t="s">
        <v>21</v>
      </c>
      <c r="C281" s="143" t="s">
        <v>33</v>
      </c>
      <c r="D281" s="143" t="s">
        <v>10</v>
      </c>
      <c r="E281" s="143"/>
      <c r="F281" s="143"/>
      <c r="G281" s="143"/>
      <c r="H281" s="143"/>
      <c r="I281" s="144"/>
      <c r="J281" s="147">
        <f>J282+J286+J290</f>
        <v>705</v>
      </c>
      <c r="K281" s="147">
        <f>K282+K286+K290</f>
        <v>705</v>
      </c>
      <c r="L281" s="147">
        <f>L282+L286+L290</f>
        <v>656.4</v>
      </c>
    </row>
    <row r="282" spans="1:12" ht="15.75">
      <c r="A282" s="146" t="s">
        <v>0</v>
      </c>
      <c r="B282" s="143" t="s">
        <v>21</v>
      </c>
      <c r="C282" s="143" t="s">
        <v>33</v>
      </c>
      <c r="D282" s="143" t="s">
        <v>10</v>
      </c>
      <c r="E282" s="143">
        <v>94</v>
      </c>
      <c r="F282" s="144">
        <v>0</v>
      </c>
      <c r="G282" s="143" t="s">
        <v>282</v>
      </c>
      <c r="H282" s="143" t="s">
        <v>362</v>
      </c>
      <c r="I282" s="144"/>
      <c r="J282" s="147">
        <f>J283</f>
        <v>40</v>
      </c>
      <c r="K282" s="147">
        <f t="shared" ref="K282:L284" si="34">K283</f>
        <v>40</v>
      </c>
      <c r="L282" s="147">
        <f t="shared" si="34"/>
        <v>40</v>
      </c>
    </row>
    <row r="283" spans="1:12" ht="15.75">
      <c r="A283" s="146" t="s">
        <v>1</v>
      </c>
      <c r="B283" s="143" t="s">
        <v>21</v>
      </c>
      <c r="C283" s="143" t="s">
        <v>33</v>
      </c>
      <c r="D283" s="143" t="s">
        <v>10</v>
      </c>
      <c r="E283" s="143">
        <v>94</v>
      </c>
      <c r="F283" s="144">
        <v>1</v>
      </c>
      <c r="G283" s="143" t="s">
        <v>282</v>
      </c>
      <c r="H283" s="143" t="s">
        <v>362</v>
      </c>
      <c r="I283" s="144" t="s">
        <v>6</v>
      </c>
      <c r="J283" s="147">
        <f>J284</f>
        <v>40</v>
      </c>
      <c r="K283" s="147">
        <f t="shared" si="34"/>
        <v>40</v>
      </c>
      <c r="L283" s="147">
        <f t="shared" si="34"/>
        <v>40</v>
      </c>
    </row>
    <row r="284" spans="1:12" ht="15.75">
      <c r="A284" s="146" t="s">
        <v>1</v>
      </c>
      <c r="B284" s="143" t="s">
        <v>21</v>
      </c>
      <c r="C284" s="143" t="s">
        <v>33</v>
      </c>
      <c r="D284" s="143" t="s">
        <v>10</v>
      </c>
      <c r="E284" s="143">
        <v>94</v>
      </c>
      <c r="F284" s="144">
        <v>1</v>
      </c>
      <c r="G284" s="143" t="s">
        <v>282</v>
      </c>
      <c r="H284" s="143" t="s">
        <v>293</v>
      </c>
      <c r="I284" s="144"/>
      <c r="J284" s="147">
        <f>J285</f>
        <v>40</v>
      </c>
      <c r="K284" s="147">
        <f t="shared" si="34"/>
        <v>40</v>
      </c>
      <c r="L284" s="147">
        <f t="shared" si="34"/>
        <v>40</v>
      </c>
    </row>
    <row r="285" spans="1:12" ht="15.75">
      <c r="A285" s="146" t="s">
        <v>109</v>
      </c>
      <c r="B285" s="143" t="s">
        <v>21</v>
      </c>
      <c r="C285" s="143" t="s">
        <v>33</v>
      </c>
      <c r="D285" s="143" t="s">
        <v>10</v>
      </c>
      <c r="E285" s="143">
        <v>94</v>
      </c>
      <c r="F285" s="144">
        <v>1</v>
      </c>
      <c r="G285" s="143" t="s">
        <v>282</v>
      </c>
      <c r="H285" s="143" t="s">
        <v>293</v>
      </c>
      <c r="I285" s="143" t="s">
        <v>108</v>
      </c>
      <c r="J285" s="147">
        <v>40</v>
      </c>
      <c r="K285" s="147">
        <f>J285</f>
        <v>40</v>
      </c>
      <c r="L285" s="147">
        <v>40</v>
      </c>
    </row>
    <row r="286" spans="1:12" ht="15.75">
      <c r="A286" s="148" t="s">
        <v>79</v>
      </c>
      <c r="B286" s="143" t="s">
        <v>21</v>
      </c>
      <c r="C286" s="143" t="s">
        <v>33</v>
      </c>
      <c r="D286" s="143" t="s">
        <v>10</v>
      </c>
      <c r="E286" s="143" t="s">
        <v>78</v>
      </c>
      <c r="F286" s="144">
        <v>0</v>
      </c>
      <c r="G286" s="143" t="s">
        <v>282</v>
      </c>
      <c r="H286" s="143" t="s">
        <v>362</v>
      </c>
      <c r="I286" s="144"/>
      <c r="J286" s="147">
        <f>J287</f>
        <v>605</v>
      </c>
      <c r="K286" s="147">
        <f t="shared" ref="K286:L288" si="35">K287</f>
        <v>605</v>
      </c>
      <c r="L286" s="147">
        <f t="shared" si="35"/>
        <v>571.4</v>
      </c>
    </row>
    <row r="287" spans="1:12" ht="15.75">
      <c r="A287" s="148" t="s">
        <v>80</v>
      </c>
      <c r="B287" s="143" t="s">
        <v>21</v>
      </c>
      <c r="C287" s="143" t="s">
        <v>33</v>
      </c>
      <c r="D287" s="143" t="s">
        <v>10</v>
      </c>
      <c r="E287" s="143" t="s">
        <v>78</v>
      </c>
      <c r="F287" s="144">
        <v>3</v>
      </c>
      <c r="G287" s="143" t="s">
        <v>282</v>
      </c>
      <c r="H287" s="143" t="s">
        <v>362</v>
      </c>
      <c r="I287" s="144"/>
      <c r="J287" s="147">
        <f>J288</f>
        <v>605</v>
      </c>
      <c r="K287" s="147">
        <f t="shared" si="35"/>
        <v>605</v>
      </c>
      <c r="L287" s="147">
        <f t="shared" si="35"/>
        <v>571.4</v>
      </c>
    </row>
    <row r="288" spans="1:12" ht="15.75">
      <c r="A288" s="148" t="s">
        <v>81</v>
      </c>
      <c r="B288" s="143" t="s">
        <v>21</v>
      </c>
      <c r="C288" s="143" t="s">
        <v>33</v>
      </c>
      <c r="D288" s="143" t="s">
        <v>10</v>
      </c>
      <c r="E288" s="143" t="s">
        <v>78</v>
      </c>
      <c r="F288" s="144">
        <v>3</v>
      </c>
      <c r="G288" s="143" t="s">
        <v>282</v>
      </c>
      <c r="H288" s="143" t="s">
        <v>342</v>
      </c>
      <c r="I288" s="144"/>
      <c r="J288" s="147">
        <f>J289</f>
        <v>605</v>
      </c>
      <c r="K288" s="147">
        <f t="shared" si="35"/>
        <v>605</v>
      </c>
      <c r="L288" s="147">
        <f t="shared" si="35"/>
        <v>571.4</v>
      </c>
    </row>
    <row r="289" spans="1:12" ht="31.5">
      <c r="A289" s="148" t="s">
        <v>415</v>
      </c>
      <c r="B289" s="143" t="s">
        <v>21</v>
      </c>
      <c r="C289" s="143" t="s">
        <v>33</v>
      </c>
      <c r="D289" s="143" t="s">
        <v>10</v>
      </c>
      <c r="E289" s="143" t="s">
        <v>78</v>
      </c>
      <c r="F289" s="144">
        <v>3</v>
      </c>
      <c r="G289" s="143" t="s">
        <v>282</v>
      </c>
      <c r="H289" s="143" t="s">
        <v>342</v>
      </c>
      <c r="I289" s="144">
        <v>810</v>
      </c>
      <c r="J289" s="147">
        <v>605</v>
      </c>
      <c r="K289" s="147">
        <f>J289</f>
        <v>605</v>
      </c>
      <c r="L289" s="147">
        <v>571.4</v>
      </c>
    </row>
    <row r="290" spans="1:12" ht="15.75">
      <c r="A290" s="148" t="s">
        <v>54</v>
      </c>
      <c r="B290" s="143" t="s">
        <v>21</v>
      </c>
      <c r="C290" s="143" t="s">
        <v>33</v>
      </c>
      <c r="D290" s="143" t="s">
        <v>10</v>
      </c>
      <c r="E290" s="143" t="s">
        <v>42</v>
      </c>
      <c r="F290" s="144">
        <v>0</v>
      </c>
      <c r="G290" s="143" t="s">
        <v>282</v>
      </c>
      <c r="H290" s="143" t="s">
        <v>362</v>
      </c>
      <c r="I290" s="144"/>
      <c r="J290" s="147">
        <f>J291</f>
        <v>60</v>
      </c>
      <c r="K290" s="147">
        <f t="shared" ref="K290:L292" si="36">K291</f>
        <v>60</v>
      </c>
      <c r="L290" s="147">
        <f t="shared" si="36"/>
        <v>45</v>
      </c>
    </row>
    <row r="291" spans="1:12" ht="15.75">
      <c r="A291" s="148" t="s">
        <v>55</v>
      </c>
      <c r="B291" s="143" t="s">
        <v>21</v>
      </c>
      <c r="C291" s="143" t="s">
        <v>33</v>
      </c>
      <c r="D291" s="143" t="s">
        <v>10</v>
      </c>
      <c r="E291" s="143" t="s">
        <v>42</v>
      </c>
      <c r="F291" s="144">
        <v>9</v>
      </c>
      <c r="G291" s="143" t="s">
        <v>282</v>
      </c>
      <c r="H291" s="143" t="s">
        <v>362</v>
      </c>
      <c r="I291" s="144"/>
      <c r="J291" s="147">
        <f>J292</f>
        <v>60</v>
      </c>
      <c r="K291" s="147">
        <f t="shared" si="36"/>
        <v>60</v>
      </c>
      <c r="L291" s="147">
        <f t="shared" si="36"/>
        <v>45</v>
      </c>
    </row>
    <row r="292" spans="1:12" ht="15.75">
      <c r="A292" s="148" t="s">
        <v>343</v>
      </c>
      <c r="B292" s="143" t="s">
        <v>21</v>
      </c>
      <c r="C292" s="143" t="s">
        <v>33</v>
      </c>
      <c r="D292" s="143" t="s">
        <v>10</v>
      </c>
      <c r="E292" s="143" t="s">
        <v>42</v>
      </c>
      <c r="F292" s="144">
        <v>9</v>
      </c>
      <c r="G292" s="143" t="s">
        <v>282</v>
      </c>
      <c r="H292" s="143" t="s">
        <v>344</v>
      </c>
      <c r="I292" s="144"/>
      <c r="J292" s="145">
        <f>J293</f>
        <v>60</v>
      </c>
      <c r="K292" s="145">
        <f t="shared" si="36"/>
        <v>60</v>
      </c>
      <c r="L292" s="145">
        <f t="shared" si="36"/>
        <v>45</v>
      </c>
    </row>
    <row r="293" spans="1:12" ht="15.75">
      <c r="A293" s="148" t="s">
        <v>110</v>
      </c>
      <c r="B293" s="143" t="s">
        <v>21</v>
      </c>
      <c r="C293" s="143" t="s">
        <v>33</v>
      </c>
      <c r="D293" s="143" t="s">
        <v>10</v>
      </c>
      <c r="E293" s="143" t="s">
        <v>42</v>
      </c>
      <c r="F293" s="144">
        <v>9</v>
      </c>
      <c r="G293" s="143" t="s">
        <v>282</v>
      </c>
      <c r="H293" s="143" t="s">
        <v>344</v>
      </c>
      <c r="I293" s="144">
        <v>310</v>
      </c>
      <c r="J293" s="145">
        <f>90-30</f>
        <v>60</v>
      </c>
      <c r="K293" s="145">
        <f>J293</f>
        <v>60</v>
      </c>
      <c r="L293" s="145">
        <v>45</v>
      </c>
    </row>
    <row r="294" spans="1:12" ht="15.75">
      <c r="A294" s="152" t="s">
        <v>256</v>
      </c>
      <c r="B294" s="143" t="s">
        <v>21</v>
      </c>
      <c r="C294" s="143">
        <v>11</v>
      </c>
      <c r="D294" s="143"/>
      <c r="E294" s="143"/>
      <c r="F294" s="144"/>
      <c r="G294" s="143"/>
      <c r="H294" s="143"/>
      <c r="I294" s="144"/>
      <c r="J294" s="147">
        <f>J295</f>
        <v>2595</v>
      </c>
      <c r="K294" s="147">
        <f t="shared" ref="K294:L296" si="37">K295</f>
        <v>2595</v>
      </c>
      <c r="L294" s="147">
        <f t="shared" si="37"/>
        <v>1877.3</v>
      </c>
    </row>
    <row r="295" spans="1:12" ht="15.75">
      <c r="A295" s="146" t="s">
        <v>31</v>
      </c>
      <c r="B295" s="143" t="s">
        <v>21</v>
      </c>
      <c r="C295" s="143">
        <v>11</v>
      </c>
      <c r="D295" s="143" t="s">
        <v>14</v>
      </c>
      <c r="E295" s="143"/>
      <c r="F295" s="144"/>
      <c r="G295" s="143"/>
      <c r="H295" s="143"/>
      <c r="I295" s="144"/>
      <c r="J295" s="147">
        <f>J296</f>
        <v>2595</v>
      </c>
      <c r="K295" s="147">
        <f t="shared" si="37"/>
        <v>2595</v>
      </c>
      <c r="L295" s="147">
        <f t="shared" si="37"/>
        <v>1877.3</v>
      </c>
    </row>
    <row r="296" spans="1:12" ht="31.5">
      <c r="A296" s="148" t="s">
        <v>485</v>
      </c>
      <c r="B296" s="143" t="s">
        <v>21</v>
      </c>
      <c r="C296" s="143" t="s">
        <v>34</v>
      </c>
      <c r="D296" s="143" t="s">
        <v>14</v>
      </c>
      <c r="E296" s="143" t="s">
        <v>61</v>
      </c>
      <c r="F296" s="144">
        <v>0</v>
      </c>
      <c r="G296" s="143" t="s">
        <v>282</v>
      </c>
      <c r="H296" s="143" t="s">
        <v>362</v>
      </c>
      <c r="I296" s="144"/>
      <c r="J296" s="147">
        <f>J297</f>
        <v>2595</v>
      </c>
      <c r="K296" s="147">
        <f t="shared" si="37"/>
        <v>2595</v>
      </c>
      <c r="L296" s="147">
        <f t="shared" si="37"/>
        <v>1877.3</v>
      </c>
    </row>
    <row r="297" spans="1:12" ht="31.5">
      <c r="A297" s="148" t="s">
        <v>82</v>
      </c>
      <c r="B297" s="143" t="s">
        <v>21</v>
      </c>
      <c r="C297" s="143" t="s">
        <v>34</v>
      </c>
      <c r="D297" s="143" t="s">
        <v>14</v>
      </c>
      <c r="E297" s="143" t="s">
        <v>61</v>
      </c>
      <c r="F297" s="144">
        <v>4</v>
      </c>
      <c r="G297" s="143" t="s">
        <v>282</v>
      </c>
      <c r="H297" s="143" t="s">
        <v>362</v>
      </c>
      <c r="I297" s="144"/>
      <c r="J297" s="147">
        <f>J298+J300+J302</f>
        <v>2595</v>
      </c>
      <c r="K297" s="147">
        <f>K298+K300+K302</f>
        <v>2595</v>
      </c>
      <c r="L297" s="147">
        <f>L298+L300+L302</f>
        <v>1877.3</v>
      </c>
    </row>
    <row r="298" spans="1:12" ht="15.75">
      <c r="A298" s="148" t="s">
        <v>83</v>
      </c>
      <c r="B298" s="143" t="s">
        <v>21</v>
      </c>
      <c r="C298" s="143" t="s">
        <v>34</v>
      </c>
      <c r="D298" s="143" t="s">
        <v>14</v>
      </c>
      <c r="E298" s="143" t="s">
        <v>61</v>
      </c>
      <c r="F298" s="144">
        <v>4</v>
      </c>
      <c r="G298" s="143" t="s">
        <v>282</v>
      </c>
      <c r="H298" s="143" t="s">
        <v>345</v>
      </c>
      <c r="I298" s="144"/>
      <c r="J298" s="147">
        <f>J299</f>
        <v>195</v>
      </c>
      <c r="K298" s="147">
        <f>K299</f>
        <v>195</v>
      </c>
      <c r="L298" s="147">
        <f>L299</f>
        <v>194.5</v>
      </c>
    </row>
    <row r="299" spans="1:12" ht="15.75">
      <c r="A299" s="148" t="s">
        <v>127</v>
      </c>
      <c r="B299" s="143" t="s">
        <v>21</v>
      </c>
      <c r="C299" s="143" t="s">
        <v>34</v>
      </c>
      <c r="D299" s="143" t="s">
        <v>14</v>
      </c>
      <c r="E299" s="143" t="s">
        <v>61</v>
      </c>
      <c r="F299" s="144">
        <v>4</v>
      </c>
      <c r="G299" s="143" t="s">
        <v>282</v>
      </c>
      <c r="H299" s="143" t="s">
        <v>345</v>
      </c>
      <c r="I299" s="144">
        <v>240</v>
      </c>
      <c r="J299" s="147">
        <f>295-100</f>
        <v>195</v>
      </c>
      <c r="K299" s="147">
        <f>J299</f>
        <v>195</v>
      </c>
      <c r="L299" s="147">
        <v>194.5</v>
      </c>
    </row>
    <row r="300" spans="1:12" ht="15.75">
      <c r="A300" s="148" t="s">
        <v>68</v>
      </c>
      <c r="B300" s="143" t="s">
        <v>21</v>
      </c>
      <c r="C300" s="143" t="s">
        <v>34</v>
      </c>
      <c r="D300" s="143" t="s">
        <v>14</v>
      </c>
      <c r="E300" s="143" t="s">
        <v>61</v>
      </c>
      <c r="F300" s="144">
        <v>4</v>
      </c>
      <c r="G300" s="143" t="s">
        <v>282</v>
      </c>
      <c r="H300" s="143" t="s">
        <v>326</v>
      </c>
      <c r="I300" s="144"/>
      <c r="J300" s="147">
        <f>J301</f>
        <v>900</v>
      </c>
      <c r="K300" s="147">
        <f>K301</f>
        <v>900</v>
      </c>
      <c r="L300" s="147">
        <f>L301</f>
        <v>804.8</v>
      </c>
    </row>
    <row r="301" spans="1:12" ht="15.75">
      <c r="A301" s="148" t="s">
        <v>127</v>
      </c>
      <c r="B301" s="143" t="s">
        <v>21</v>
      </c>
      <c r="C301" s="143" t="s">
        <v>34</v>
      </c>
      <c r="D301" s="143" t="s">
        <v>14</v>
      </c>
      <c r="E301" s="143" t="s">
        <v>61</v>
      </c>
      <c r="F301" s="144">
        <v>4</v>
      </c>
      <c r="G301" s="143" t="s">
        <v>282</v>
      </c>
      <c r="H301" s="143" t="s">
        <v>326</v>
      </c>
      <c r="I301" s="144">
        <v>240</v>
      </c>
      <c r="J301" s="147">
        <f>1320-420</f>
        <v>900</v>
      </c>
      <c r="K301" s="147">
        <f>J301</f>
        <v>900</v>
      </c>
      <c r="L301" s="147">
        <v>804.8</v>
      </c>
    </row>
    <row r="302" spans="1:12" ht="15.75">
      <c r="A302" s="148" t="s">
        <v>84</v>
      </c>
      <c r="B302" s="143" t="s">
        <v>21</v>
      </c>
      <c r="C302" s="143" t="s">
        <v>34</v>
      </c>
      <c r="D302" s="143" t="s">
        <v>14</v>
      </c>
      <c r="E302" s="143" t="s">
        <v>61</v>
      </c>
      <c r="F302" s="144">
        <v>4</v>
      </c>
      <c r="G302" s="143" t="s">
        <v>282</v>
      </c>
      <c r="H302" s="143" t="s">
        <v>346</v>
      </c>
      <c r="I302" s="144"/>
      <c r="J302" s="147">
        <f>J303</f>
        <v>1500</v>
      </c>
      <c r="K302" s="147">
        <f>K303</f>
        <v>1500</v>
      </c>
      <c r="L302" s="147">
        <f>L303</f>
        <v>878</v>
      </c>
    </row>
    <row r="303" spans="1:12" ht="15.75">
      <c r="A303" s="148" t="s">
        <v>127</v>
      </c>
      <c r="B303" s="143" t="s">
        <v>21</v>
      </c>
      <c r="C303" s="143" t="s">
        <v>34</v>
      </c>
      <c r="D303" s="143" t="s">
        <v>14</v>
      </c>
      <c r="E303" s="143" t="s">
        <v>61</v>
      </c>
      <c r="F303" s="144">
        <v>4</v>
      </c>
      <c r="G303" s="143" t="s">
        <v>282</v>
      </c>
      <c r="H303" s="143" t="s">
        <v>346</v>
      </c>
      <c r="I303" s="144">
        <v>240</v>
      </c>
      <c r="J303" s="147">
        <v>1500</v>
      </c>
      <c r="K303" s="147">
        <f>J303</f>
        <v>1500</v>
      </c>
      <c r="L303" s="147">
        <v>878</v>
      </c>
    </row>
    <row r="304" spans="1:12" ht="15.75">
      <c r="A304" s="152" t="s">
        <v>349</v>
      </c>
      <c r="B304" s="143" t="s">
        <v>21</v>
      </c>
      <c r="C304" s="143" t="s">
        <v>40</v>
      </c>
      <c r="D304" s="143"/>
      <c r="E304" s="143"/>
      <c r="F304" s="144"/>
      <c r="G304" s="143"/>
      <c r="H304" s="143"/>
      <c r="I304" s="144"/>
      <c r="J304" s="147">
        <f>J305</f>
        <v>1000</v>
      </c>
      <c r="K304" s="147">
        <f t="shared" ref="K304:L308" si="38">K305</f>
        <v>1000</v>
      </c>
      <c r="L304" s="147">
        <f t="shared" si="38"/>
        <v>728</v>
      </c>
    </row>
    <row r="305" spans="1:12" ht="15.75">
      <c r="A305" s="146" t="s">
        <v>347</v>
      </c>
      <c r="B305" s="143" t="s">
        <v>21</v>
      </c>
      <c r="C305" s="143" t="s">
        <v>40</v>
      </c>
      <c r="D305" s="143" t="s">
        <v>11</v>
      </c>
      <c r="E305" s="143"/>
      <c r="F305" s="144"/>
      <c r="G305" s="143"/>
      <c r="H305" s="143"/>
      <c r="I305" s="144"/>
      <c r="J305" s="147">
        <f>J306</f>
        <v>1000</v>
      </c>
      <c r="K305" s="147">
        <f t="shared" si="38"/>
        <v>1000</v>
      </c>
      <c r="L305" s="147">
        <f t="shared" si="38"/>
        <v>728</v>
      </c>
    </row>
    <row r="306" spans="1:12" ht="31.5">
      <c r="A306" s="148" t="s">
        <v>463</v>
      </c>
      <c r="B306" s="143" t="s">
        <v>21</v>
      </c>
      <c r="C306" s="143" t="s">
        <v>40</v>
      </c>
      <c r="D306" s="143" t="s">
        <v>11</v>
      </c>
      <c r="E306" s="143" t="s">
        <v>34</v>
      </c>
      <c r="F306" s="144">
        <v>0</v>
      </c>
      <c r="G306" s="143" t="s">
        <v>282</v>
      </c>
      <c r="H306" s="143" t="s">
        <v>362</v>
      </c>
      <c r="I306" s="144"/>
      <c r="J306" s="147">
        <f>J307</f>
        <v>1000</v>
      </c>
      <c r="K306" s="147">
        <f t="shared" si="38"/>
        <v>1000</v>
      </c>
      <c r="L306" s="147">
        <f t="shared" si="38"/>
        <v>728</v>
      </c>
    </row>
    <row r="307" spans="1:12" ht="15.75">
      <c r="A307" s="148" t="s">
        <v>280</v>
      </c>
      <c r="B307" s="143" t="s">
        <v>21</v>
      </c>
      <c r="C307" s="143" t="s">
        <v>40</v>
      </c>
      <c r="D307" s="143" t="s">
        <v>11</v>
      </c>
      <c r="E307" s="143" t="s">
        <v>34</v>
      </c>
      <c r="F307" s="143" t="s">
        <v>118</v>
      </c>
      <c r="G307" s="143" t="s">
        <v>9</v>
      </c>
      <c r="H307" s="143" t="s">
        <v>362</v>
      </c>
      <c r="I307" s="143"/>
      <c r="J307" s="147">
        <f>J308</f>
        <v>1000</v>
      </c>
      <c r="K307" s="147">
        <f t="shared" si="38"/>
        <v>1000</v>
      </c>
      <c r="L307" s="147">
        <f t="shared" si="38"/>
        <v>728</v>
      </c>
    </row>
    <row r="308" spans="1:12" ht="15.75">
      <c r="A308" s="148" t="s">
        <v>280</v>
      </c>
      <c r="B308" s="143" t="s">
        <v>21</v>
      </c>
      <c r="C308" s="143" t="s">
        <v>40</v>
      </c>
      <c r="D308" s="143" t="s">
        <v>11</v>
      </c>
      <c r="E308" s="143" t="s">
        <v>34</v>
      </c>
      <c r="F308" s="143" t="s">
        <v>118</v>
      </c>
      <c r="G308" s="143" t="s">
        <v>9</v>
      </c>
      <c r="H308" s="143" t="s">
        <v>281</v>
      </c>
      <c r="I308" s="143"/>
      <c r="J308" s="147">
        <f>J309</f>
        <v>1000</v>
      </c>
      <c r="K308" s="147">
        <f t="shared" si="38"/>
        <v>1000</v>
      </c>
      <c r="L308" s="147">
        <f t="shared" si="38"/>
        <v>728</v>
      </c>
    </row>
    <row r="309" spans="1:12" ht="15.75">
      <c r="A309" s="148" t="s">
        <v>127</v>
      </c>
      <c r="B309" s="143" t="s">
        <v>21</v>
      </c>
      <c r="C309" s="143" t="s">
        <v>40</v>
      </c>
      <c r="D309" s="143" t="s">
        <v>11</v>
      </c>
      <c r="E309" s="143" t="s">
        <v>34</v>
      </c>
      <c r="F309" s="143" t="s">
        <v>118</v>
      </c>
      <c r="G309" s="143" t="s">
        <v>9</v>
      </c>
      <c r="H309" s="143" t="s">
        <v>281</v>
      </c>
      <c r="I309" s="143" t="s">
        <v>117</v>
      </c>
      <c r="J309" s="147">
        <f>600+400</f>
        <v>1000</v>
      </c>
      <c r="K309" s="147">
        <f>J309</f>
        <v>1000</v>
      </c>
      <c r="L309" s="147">
        <v>728</v>
      </c>
    </row>
    <row r="310" spans="1:12" ht="15.75">
      <c r="A310" s="166" t="s">
        <v>427</v>
      </c>
      <c r="B310" s="167">
        <v>872</v>
      </c>
      <c r="C310" s="168" t="s">
        <v>132</v>
      </c>
      <c r="D310" s="168" t="s">
        <v>132</v>
      </c>
      <c r="E310" s="169" t="s">
        <v>132</v>
      </c>
      <c r="F310" s="170" t="s">
        <v>132</v>
      </c>
      <c r="G310" s="171" t="s">
        <v>132</v>
      </c>
      <c r="H310" s="172" t="s">
        <v>132</v>
      </c>
      <c r="I310" s="170"/>
      <c r="J310" s="173">
        <f>J311+J365+J371+J406+J428+J494+J506+J549+J559+J569</f>
        <v>1043.5</v>
      </c>
      <c r="K310" s="173">
        <f>K311+K365+K371+K406+K428+K494+K506+K549+K559+K569</f>
        <v>1043.5</v>
      </c>
      <c r="L310" s="173">
        <f>L311+L365+L371+L406+L428+L494+L506+L549+L559+L569</f>
        <v>981.6</v>
      </c>
    </row>
    <row r="311" spans="1:12" ht="15.75">
      <c r="A311" s="142" t="s">
        <v>247</v>
      </c>
      <c r="B311" s="143" t="s">
        <v>41</v>
      </c>
      <c r="C311" s="143" t="s">
        <v>9</v>
      </c>
      <c r="D311" s="144" t="s">
        <v>7</v>
      </c>
      <c r="E311" s="143" t="s">
        <v>8</v>
      </c>
      <c r="F311" s="144"/>
      <c r="G311" s="143"/>
      <c r="H311" s="143"/>
      <c r="I311" s="144" t="s">
        <v>6</v>
      </c>
      <c r="J311" s="145">
        <f>J312+J319</f>
        <v>1043.5</v>
      </c>
      <c r="K311" s="145">
        <f>K312+K319</f>
        <v>1043.5</v>
      </c>
      <c r="L311" s="145">
        <f>L312+L319</f>
        <v>981.6</v>
      </c>
    </row>
    <row r="312" spans="1:12" ht="31.5">
      <c r="A312" s="142" t="s">
        <v>23</v>
      </c>
      <c r="B312" s="143" t="s">
        <v>41</v>
      </c>
      <c r="C312" s="143" t="s">
        <v>9</v>
      </c>
      <c r="D312" s="143" t="s">
        <v>10</v>
      </c>
      <c r="E312" s="143" t="s">
        <v>8</v>
      </c>
      <c r="F312" s="144"/>
      <c r="G312" s="143"/>
      <c r="H312" s="143"/>
      <c r="I312" s="144" t="s">
        <v>6</v>
      </c>
      <c r="J312" s="145">
        <f t="shared" ref="J312:L313" si="39">J313</f>
        <v>973.5</v>
      </c>
      <c r="K312" s="145">
        <f t="shared" si="39"/>
        <v>973.5</v>
      </c>
      <c r="L312" s="145">
        <f t="shared" si="39"/>
        <v>964.9</v>
      </c>
    </row>
    <row r="313" spans="1:12" ht="15.75">
      <c r="A313" s="146" t="s">
        <v>44</v>
      </c>
      <c r="B313" s="143" t="s">
        <v>41</v>
      </c>
      <c r="C313" s="143" t="s">
        <v>9</v>
      </c>
      <c r="D313" s="143" t="s">
        <v>10</v>
      </c>
      <c r="E313" s="143">
        <v>91</v>
      </c>
      <c r="F313" s="144">
        <v>0</v>
      </c>
      <c r="G313" s="143" t="s">
        <v>118</v>
      </c>
      <c r="H313" s="143" t="s">
        <v>362</v>
      </c>
      <c r="I313" s="144" t="s">
        <v>6</v>
      </c>
      <c r="J313" s="145">
        <f t="shared" si="39"/>
        <v>973.5</v>
      </c>
      <c r="K313" s="145">
        <f t="shared" si="39"/>
        <v>973.5</v>
      </c>
      <c r="L313" s="145">
        <f t="shared" si="39"/>
        <v>964.9</v>
      </c>
    </row>
    <row r="314" spans="1:12" ht="15.75">
      <c r="A314" s="146" t="s">
        <v>45</v>
      </c>
      <c r="B314" s="143" t="s">
        <v>41</v>
      </c>
      <c r="C314" s="143" t="s">
        <v>9</v>
      </c>
      <c r="D314" s="143" t="s">
        <v>10</v>
      </c>
      <c r="E314" s="143">
        <v>91</v>
      </c>
      <c r="F314" s="144">
        <v>1</v>
      </c>
      <c r="G314" s="143" t="s">
        <v>282</v>
      </c>
      <c r="H314" s="143" t="s">
        <v>362</v>
      </c>
      <c r="I314" s="144"/>
      <c r="J314" s="145">
        <f>J315+J317</f>
        <v>973.5</v>
      </c>
      <c r="K314" s="145">
        <f>K315+K317</f>
        <v>973.5</v>
      </c>
      <c r="L314" s="145">
        <f>L315+L317</f>
        <v>964.9</v>
      </c>
    </row>
    <row r="315" spans="1:12" ht="31.5">
      <c r="A315" s="146" t="s">
        <v>46</v>
      </c>
      <c r="B315" s="143" t="s">
        <v>41</v>
      </c>
      <c r="C315" s="143" t="s">
        <v>9</v>
      </c>
      <c r="D315" s="143" t="s">
        <v>10</v>
      </c>
      <c r="E315" s="143">
        <v>91</v>
      </c>
      <c r="F315" s="144">
        <v>1</v>
      </c>
      <c r="G315" s="143" t="s">
        <v>282</v>
      </c>
      <c r="H315" s="143" t="s">
        <v>283</v>
      </c>
      <c r="I315" s="144"/>
      <c r="J315" s="145">
        <f>J316</f>
        <v>973.4</v>
      </c>
      <c r="K315" s="145">
        <f>K316</f>
        <v>973.4</v>
      </c>
      <c r="L315" s="145">
        <f>L316</f>
        <v>964.9</v>
      </c>
    </row>
    <row r="316" spans="1:12" ht="15.75">
      <c r="A316" s="146" t="s">
        <v>106</v>
      </c>
      <c r="B316" s="143" t="s">
        <v>41</v>
      </c>
      <c r="C316" s="143" t="s">
        <v>9</v>
      </c>
      <c r="D316" s="143" t="s">
        <v>10</v>
      </c>
      <c r="E316" s="143">
        <v>91</v>
      </c>
      <c r="F316" s="144">
        <v>1</v>
      </c>
      <c r="G316" s="143" t="s">
        <v>282</v>
      </c>
      <c r="H316" s="143" t="s">
        <v>283</v>
      </c>
      <c r="I316" s="144">
        <v>120</v>
      </c>
      <c r="J316" s="147">
        <f>1248.5-96-179.1</f>
        <v>973.4</v>
      </c>
      <c r="K316" s="147">
        <f>J316</f>
        <v>973.4</v>
      </c>
      <c r="L316" s="147">
        <v>964.9</v>
      </c>
    </row>
    <row r="317" spans="1:12" ht="31.5">
      <c r="A317" s="146" t="s">
        <v>47</v>
      </c>
      <c r="B317" s="143" t="s">
        <v>41</v>
      </c>
      <c r="C317" s="143" t="s">
        <v>9</v>
      </c>
      <c r="D317" s="143" t="s">
        <v>10</v>
      </c>
      <c r="E317" s="143">
        <v>91</v>
      </c>
      <c r="F317" s="144">
        <v>1</v>
      </c>
      <c r="G317" s="143" t="s">
        <v>282</v>
      </c>
      <c r="H317" s="143" t="s">
        <v>284</v>
      </c>
      <c r="I317" s="144"/>
      <c r="J317" s="147">
        <f>SUM(J318:J318)</f>
        <v>9.9999999999999978E-2</v>
      </c>
      <c r="K317" s="147">
        <f>SUM(K318:K318)</f>
        <v>9.9999999999999978E-2</v>
      </c>
      <c r="L317" s="147">
        <f>SUM(L318:L318)</f>
        <v>0</v>
      </c>
    </row>
    <row r="318" spans="1:12" ht="15.75">
      <c r="A318" s="148" t="s">
        <v>107</v>
      </c>
      <c r="B318" s="143" t="s">
        <v>41</v>
      </c>
      <c r="C318" s="143" t="s">
        <v>9</v>
      </c>
      <c r="D318" s="143" t="s">
        <v>10</v>
      </c>
      <c r="E318" s="143">
        <v>91</v>
      </c>
      <c r="F318" s="144">
        <v>1</v>
      </c>
      <c r="G318" s="143" t="s">
        <v>282</v>
      </c>
      <c r="H318" s="143" t="s">
        <v>284</v>
      </c>
      <c r="I318" s="144">
        <v>850</v>
      </c>
      <c r="J318" s="147">
        <f>1-0.9</f>
        <v>9.9999999999999978E-2</v>
      </c>
      <c r="K318" s="147">
        <f>1-0.9</f>
        <v>9.9999999999999978E-2</v>
      </c>
      <c r="L318" s="147">
        <v>0</v>
      </c>
    </row>
    <row r="319" spans="1:12" ht="15.75">
      <c r="A319" s="148" t="s">
        <v>19</v>
      </c>
      <c r="B319" s="143" t="s">
        <v>41</v>
      </c>
      <c r="C319" s="143" t="s">
        <v>9</v>
      </c>
      <c r="D319" s="143" t="s">
        <v>113</v>
      </c>
      <c r="E319" s="143"/>
      <c r="F319" s="143"/>
      <c r="G319" s="143"/>
      <c r="H319" s="143"/>
      <c r="I319" s="143"/>
      <c r="J319" s="147">
        <f>J320</f>
        <v>70</v>
      </c>
      <c r="K319" s="147">
        <f t="shared" ref="K319:L322" si="40">K320</f>
        <v>70</v>
      </c>
      <c r="L319" s="147">
        <f t="shared" si="40"/>
        <v>16.7</v>
      </c>
    </row>
    <row r="320" spans="1:12" ht="15.75">
      <c r="A320" s="146" t="s">
        <v>44</v>
      </c>
      <c r="B320" s="143" t="s">
        <v>41</v>
      </c>
      <c r="C320" s="143" t="s">
        <v>9</v>
      </c>
      <c r="D320" s="144">
        <v>13</v>
      </c>
      <c r="E320" s="143" t="s">
        <v>97</v>
      </c>
      <c r="F320" s="144">
        <v>0</v>
      </c>
      <c r="G320" s="143" t="s">
        <v>282</v>
      </c>
      <c r="H320" s="143" t="s">
        <v>362</v>
      </c>
      <c r="I320" s="144"/>
      <c r="J320" s="147">
        <f>J321</f>
        <v>70</v>
      </c>
      <c r="K320" s="147">
        <f t="shared" si="40"/>
        <v>70</v>
      </c>
      <c r="L320" s="147">
        <f t="shared" si="40"/>
        <v>16.7</v>
      </c>
    </row>
    <row r="321" spans="1:12" ht="15.75">
      <c r="A321" s="146" t="s">
        <v>45</v>
      </c>
      <c r="B321" s="143" t="s">
        <v>41</v>
      </c>
      <c r="C321" s="143" t="s">
        <v>9</v>
      </c>
      <c r="D321" s="144">
        <v>13</v>
      </c>
      <c r="E321" s="144">
        <v>91</v>
      </c>
      <c r="F321" s="144">
        <v>1</v>
      </c>
      <c r="G321" s="143" t="s">
        <v>282</v>
      </c>
      <c r="H321" s="143" t="s">
        <v>362</v>
      </c>
      <c r="I321" s="144"/>
      <c r="J321" s="147">
        <f>J322</f>
        <v>70</v>
      </c>
      <c r="K321" s="147">
        <f t="shared" si="40"/>
        <v>70</v>
      </c>
      <c r="L321" s="147">
        <f t="shared" si="40"/>
        <v>16.7</v>
      </c>
    </row>
    <row r="322" spans="1:12" ht="31.5">
      <c r="A322" s="146" t="s">
        <v>128</v>
      </c>
      <c r="B322" s="143" t="s">
        <v>41</v>
      </c>
      <c r="C322" s="143" t="s">
        <v>9</v>
      </c>
      <c r="D322" s="144">
        <v>13</v>
      </c>
      <c r="E322" s="144">
        <v>91</v>
      </c>
      <c r="F322" s="144">
        <v>1</v>
      </c>
      <c r="G322" s="143" t="s">
        <v>282</v>
      </c>
      <c r="H322" s="143" t="s">
        <v>348</v>
      </c>
      <c r="I322" s="144"/>
      <c r="J322" s="147">
        <f>J323</f>
        <v>70</v>
      </c>
      <c r="K322" s="147">
        <f t="shared" si="40"/>
        <v>70</v>
      </c>
      <c r="L322" s="147">
        <f t="shared" si="40"/>
        <v>16.7</v>
      </c>
    </row>
    <row r="323" spans="1:12" ht="15.75">
      <c r="A323" s="146" t="s">
        <v>127</v>
      </c>
      <c r="B323" s="143" t="s">
        <v>41</v>
      </c>
      <c r="C323" s="143" t="s">
        <v>9</v>
      </c>
      <c r="D323" s="144">
        <v>13</v>
      </c>
      <c r="E323" s="144">
        <v>91</v>
      </c>
      <c r="F323" s="144">
        <v>1</v>
      </c>
      <c r="G323" s="143" t="s">
        <v>282</v>
      </c>
      <c r="H323" s="143" t="s">
        <v>348</v>
      </c>
      <c r="I323" s="144">
        <v>240</v>
      </c>
      <c r="J323" s="147">
        <v>70</v>
      </c>
      <c r="K323" s="147">
        <f>J323</f>
        <v>70</v>
      </c>
      <c r="L323" s="147">
        <v>16.7</v>
      </c>
    </row>
    <row r="324" spans="1:12" ht="15.75">
      <c r="A324" s="157" t="s">
        <v>134</v>
      </c>
      <c r="B324" s="159"/>
      <c r="C324" s="158"/>
      <c r="D324" s="159"/>
      <c r="E324" s="158"/>
      <c r="F324" s="159"/>
      <c r="G324" s="158"/>
      <c r="H324" s="160"/>
      <c r="I324" s="160"/>
      <c r="J324" s="161">
        <f>J10+J310</f>
        <v>159779.80000000002</v>
      </c>
      <c r="K324" s="161">
        <f>K10+K310</f>
        <v>159778.9</v>
      </c>
      <c r="L324" s="161">
        <f>L10+L310</f>
        <v>124506.5</v>
      </c>
    </row>
    <row r="325" spans="1:12">
      <c r="A325" s="126"/>
      <c r="B325" s="162"/>
      <c r="C325" s="162"/>
      <c r="D325" s="162"/>
      <c r="E325" s="163"/>
      <c r="F325" s="162"/>
      <c r="G325" s="162"/>
      <c r="H325" s="163"/>
      <c r="I325" s="162"/>
      <c r="J325" s="164"/>
      <c r="K325" s="164"/>
      <c r="L325" s="126"/>
    </row>
  </sheetData>
  <mergeCells count="2">
    <mergeCell ref="E9:H9"/>
    <mergeCell ref="A7:L7"/>
  </mergeCells>
  <phoneticPr fontId="2" type="noConversion"/>
  <pageMargins left="0.78740157480314965" right="0.19685039370078741" top="0.39370078740157483" bottom="0.39370078740157483" header="0.27559055118110237" footer="0.15748031496062992"/>
  <pageSetup paperSize="9" scale="68" fitToHeight="30" orientation="landscape" verticalDpi="300" r:id="rId1"/>
  <headerFooter alignWithMargins="0"/>
  <rowBreaks count="4" manualBreakCount="4">
    <brk id="24" max="11" man="1"/>
    <brk id="39" max="11" man="1"/>
    <brk id="48" max="11" man="1"/>
    <brk id="84"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K122"/>
  <sheetViews>
    <sheetView view="pageBreakPreview" zoomScaleNormal="100" zoomScaleSheetLayoutView="100" workbookViewId="0"/>
  </sheetViews>
  <sheetFormatPr defaultRowHeight="12.75"/>
  <cols>
    <col min="1" max="1" width="62" style="35" customWidth="1"/>
    <col min="2" max="3" width="3.140625" style="2" customWidth="1"/>
    <col min="4" max="4" width="6.7109375" style="12" customWidth="1"/>
    <col min="5" max="6" width="9" style="2" customWidth="1"/>
    <col min="7" max="7" width="4.42578125" style="2" customWidth="1"/>
    <col min="8" max="8" width="5.5703125" style="2" customWidth="1"/>
    <col min="9" max="9" width="15.85546875" style="1" bestFit="1" customWidth="1"/>
    <col min="10" max="10" width="15.85546875" style="1" customWidth="1"/>
    <col min="11" max="11" width="13.28515625" style="1" customWidth="1"/>
    <col min="12" max="16384" width="9.140625" style="1"/>
  </cols>
  <sheetData>
    <row r="1" spans="1:11" ht="15.75">
      <c r="A1" s="176"/>
      <c r="B1" s="130"/>
      <c r="C1" s="130"/>
      <c r="D1" s="177"/>
      <c r="E1" s="130"/>
      <c r="F1" s="130"/>
      <c r="G1" s="130"/>
      <c r="H1" s="130"/>
      <c r="I1" s="99"/>
      <c r="J1" s="99"/>
      <c r="K1" s="101" t="s">
        <v>219</v>
      </c>
    </row>
    <row r="2" spans="1:11" ht="15.75">
      <c r="A2" s="176"/>
      <c r="B2" s="130"/>
      <c r="C2" s="130"/>
      <c r="D2" s="177"/>
      <c r="E2" s="130"/>
      <c r="F2" s="130"/>
      <c r="G2" s="130"/>
      <c r="H2" s="130"/>
      <c r="I2" s="99"/>
      <c r="J2" s="99"/>
      <c r="K2" s="101" t="s">
        <v>218</v>
      </c>
    </row>
    <row r="3" spans="1:11" ht="15.75">
      <c r="A3" s="176"/>
      <c r="B3" s="130"/>
      <c r="C3" s="130"/>
      <c r="D3" s="177"/>
      <c r="E3" s="130"/>
      <c r="F3" s="130"/>
      <c r="G3" s="130"/>
      <c r="H3" s="130"/>
      <c r="I3" s="99"/>
      <c r="J3" s="99"/>
      <c r="K3" s="101" t="s">
        <v>432</v>
      </c>
    </row>
    <row r="4" spans="1:11" ht="15.75">
      <c r="A4" s="176"/>
      <c r="B4" s="130"/>
      <c r="C4" s="130"/>
      <c r="D4" s="177"/>
      <c r="E4" s="130"/>
      <c r="F4" s="130"/>
      <c r="G4" s="130"/>
      <c r="H4" s="130"/>
      <c r="I4" s="99"/>
      <c r="J4" s="99"/>
      <c r="K4" s="101" t="s">
        <v>492</v>
      </c>
    </row>
    <row r="5" spans="1:11" ht="15.75">
      <c r="A5" s="176"/>
      <c r="B5" s="130"/>
      <c r="C5" s="130"/>
      <c r="D5" s="177"/>
      <c r="E5" s="130"/>
      <c r="F5" s="130"/>
      <c r="G5" s="130"/>
      <c r="H5" s="130"/>
      <c r="I5" s="99"/>
      <c r="J5" s="99"/>
      <c r="K5" s="101" t="str">
        <f>'Приложение 1'!D5</f>
        <v>от "09" июня 2021 года №38-153</v>
      </c>
    </row>
    <row r="6" spans="1:11">
      <c r="A6" s="176"/>
      <c r="B6" s="130"/>
      <c r="C6" s="130"/>
      <c r="D6" s="177"/>
      <c r="E6" s="130"/>
      <c r="F6" s="130"/>
      <c r="G6" s="130"/>
      <c r="H6" s="130"/>
      <c r="I6" s="99"/>
      <c r="J6" s="99"/>
      <c r="K6" s="99"/>
    </row>
    <row r="7" spans="1:11" ht="120.75" customHeight="1">
      <c r="A7" s="258" t="s">
        <v>560</v>
      </c>
      <c r="B7" s="258"/>
      <c r="C7" s="258"/>
      <c r="D7" s="258"/>
      <c r="E7" s="258"/>
      <c r="F7" s="258"/>
      <c r="G7" s="258"/>
      <c r="H7" s="258"/>
      <c r="I7" s="258"/>
      <c r="J7" s="258"/>
      <c r="K7" s="258"/>
    </row>
    <row r="8" spans="1:11" ht="15">
      <c r="A8" s="178"/>
      <c r="B8" s="179"/>
      <c r="C8" s="179"/>
      <c r="D8" s="180"/>
      <c r="E8" s="179"/>
      <c r="F8" s="179"/>
      <c r="G8" s="179"/>
      <c r="H8" s="179"/>
      <c r="I8" s="126"/>
      <c r="J8" s="126"/>
      <c r="K8" s="181" t="s">
        <v>130</v>
      </c>
    </row>
    <row r="9" spans="1:11" ht="220.5">
      <c r="A9" s="45" t="s">
        <v>4</v>
      </c>
      <c r="B9" s="259" t="s">
        <v>5</v>
      </c>
      <c r="C9" s="259"/>
      <c r="D9" s="259"/>
      <c r="E9" s="259"/>
      <c r="F9" s="46" t="s">
        <v>561</v>
      </c>
      <c r="G9" s="46" t="s">
        <v>245</v>
      </c>
      <c r="H9" s="46" t="s">
        <v>246</v>
      </c>
      <c r="I9" s="112" t="s">
        <v>521</v>
      </c>
      <c r="J9" s="92" t="s">
        <v>495</v>
      </c>
      <c r="K9" s="112" t="s">
        <v>223</v>
      </c>
    </row>
    <row r="10" spans="1:11" ht="47.25">
      <c r="A10" s="182" t="s">
        <v>53</v>
      </c>
      <c r="B10" s="183" t="s">
        <v>9</v>
      </c>
      <c r="C10" s="184" t="s">
        <v>118</v>
      </c>
      <c r="D10" s="183" t="s">
        <v>282</v>
      </c>
      <c r="E10" s="183" t="s">
        <v>362</v>
      </c>
      <c r="F10" s="185" t="s">
        <v>132</v>
      </c>
      <c r="G10" s="186" t="s">
        <v>132</v>
      </c>
      <c r="H10" s="186" t="s">
        <v>132</v>
      </c>
      <c r="I10" s="187">
        <f>I11+I15</f>
        <v>9208.7999999999993</v>
      </c>
      <c r="J10" s="187">
        <f>J11+J15</f>
        <v>9108.7999999999993</v>
      </c>
      <c r="K10" s="187">
        <f>K11+K15</f>
        <v>3385</v>
      </c>
    </row>
    <row r="11" spans="1:11" ht="31.5">
      <c r="A11" s="188" t="s">
        <v>89</v>
      </c>
      <c r="B11" s="189" t="s">
        <v>9</v>
      </c>
      <c r="C11" s="138" t="s">
        <v>116</v>
      </c>
      <c r="D11" s="189" t="s">
        <v>282</v>
      </c>
      <c r="E11" s="189" t="s">
        <v>362</v>
      </c>
      <c r="F11" s="174" t="s">
        <v>132</v>
      </c>
      <c r="G11" s="136" t="s">
        <v>132</v>
      </c>
      <c r="H11" s="136" t="s">
        <v>132</v>
      </c>
      <c r="I11" s="190">
        <f>SUM(I12:I14)</f>
        <v>8818.0999999999985</v>
      </c>
      <c r="J11" s="190">
        <f>SUM(J12:J14)</f>
        <v>8653</v>
      </c>
      <c r="K11" s="190">
        <f>SUM(K12:K14)</f>
        <v>2936.1</v>
      </c>
    </row>
    <row r="12" spans="1:11" ht="31.5">
      <c r="A12" s="188" t="s">
        <v>52</v>
      </c>
      <c r="B12" s="189" t="s">
        <v>9</v>
      </c>
      <c r="C12" s="138" t="s">
        <v>116</v>
      </c>
      <c r="D12" s="189" t="s">
        <v>282</v>
      </c>
      <c r="E12" s="189">
        <v>29060</v>
      </c>
      <c r="F12" s="174">
        <v>240</v>
      </c>
      <c r="G12" s="136">
        <v>1</v>
      </c>
      <c r="H12" s="136">
        <v>13</v>
      </c>
      <c r="I12" s="190">
        <f>'Приложение 6'!J51</f>
        <v>5952.9</v>
      </c>
      <c r="J12" s="190">
        <f>'Приложение 6'!K51</f>
        <v>5900.4</v>
      </c>
      <c r="K12" s="190">
        <f>'Приложение 6'!L51</f>
        <v>2720</v>
      </c>
    </row>
    <row r="13" spans="1:11" ht="31.5">
      <c r="A13" s="188" t="s">
        <v>295</v>
      </c>
      <c r="B13" s="189" t="s">
        <v>9</v>
      </c>
      <c r="C13" s="138" t="s">
        <v>116</v>
      </c>
      <c r="D13" s="189" t="s">
        <v>282</v>
      </c>
      <c r="E13" s="189">
        <v>29270</v>
      </c>
      <c r="F13" s="174">
        <v>240</v>
      </c>
      <c r="G13" s="136">
        <v>1</v>
      </c>
      <c r="H13" s="136">
        <v>13</v>
      </c>
      <c r="I13" s="190">
        <f>'Приложение 6'!J53</f>
        <v>2740.4</v>
      </c>
      <c r="J13" s="190">
        <f>'Приложение 6'!K53</f>
        <v>2740.4</v>
      </c>
      <c r="K13" s="190">
        <f>'Приложение 6'!L53</f>
        <v>204</v>
      </c>
    </row>
    <row r="14" spans="1:11" ht="31.5">
      <c r="A14" s="188" t="s">
        <v>363</v>
      </c>
      <c r="B14" s="189" t="s">
        <v>9</v>
      </c>
      <c r="C14" s="138" t="s">
        <v>116</v>
      </c>
      <c r="D14" s="189" t="s">
        <v>282</v>
      </c>
      <c r="E14" s="189">
        <v>29290</v>
      </c>
      <c r="F14" s="174">
        <v>240</v>
      </c>
      <c r="G14" s="136">
        <v>1</v>
      </c>
      <c r="H14" s="136">
        <v>13</v>
      </c>
      <c r="I14" s="190">
        <f>'Приложение 6'!J55</f>
        <v>124.80000000000001</v>
      </c>
      <c r="J14" s="190">
        <f>'Приложение 6'!K55</f>
        <v>12.2</v>
      </c>
      <c r="K14" s="190">
        <f>'Приложение 6'!L55</f>
        <v>12.1</v>
      </c>
    </row>
    <row r="15" spans="1:11" ht="47.25">
      <c r="A15" s="188" t="s">
        <v>103</v>
      </c>
      <c r="B15" s="189" t="s">
        <v>9</v>
      </c>
      <c r="C15" s="138">
        <v>2</v>
      </c>
      <c r="D15" s="189" t="s">
        <v>282</v>
      </c>
      <c r="E15" s="189" t="s">
        <v>362</v>
      </c>
      <c r="F15" s="174"/>
      <c r="G15" s="136"/>
      <c r="H15" s="136"/>
      <c r="I15" s="190">
        <f>I16</f>
        <v>390.70000000000005</v>
      </c>
      <c r="J15" s="190">
        <f>J16</f>
        <v>455.8</v>
      </c>
      <c r="K15" s="190">
        <f>K16</f>
        <v>448.9</v>
      </c>
    </row>
    <row r="16" spans="1:11" ht="31.5">
      <c r="A16" s="188" t="s">
        <v>101</v>
      </c>
      <c r="B16" s="189" t="s">
        <v>9</v>
      </c>
      <c r="C16" s="138">
        <v>2</v>
      </c>
      <c r="D16" s="189" t="s">
        <v>282</v>
      </c>
      <c r="E16" s="189">
        <v>29070</v>
      </c>
      <c r="F16" s="174">
        <v>240</v>
      </c>
      <c r="G16" s="136">
        <v>1</v>
      </c>
      <c r="H16" s="136">
        <v>13</v>
      </c>
      <c r="I16" s="190">
        <f>'Приложение 6'!J58</f>
        <v>390.70000000000005</v>
      </c>
      <c r="J16" s="190">
        <f>'Приложение 6'!K58</f>
        <v>455.8</v>
      </c>
      <c r="K16" s="190">
        <f>'Приложение 6'!L58</f>
        <v>448.9</v>
      </c>
    </row>
    <row r="17" spans="1:11" ht="110.25">
      <c r="A17" s="188" t="s">
        <v>367</v>
      </c>
      <c r="B17" s="189" t="s">
        <v>11</v>
      </c>
      <c r="C17" s="138" t="s">
        <v>118</v>
      </c>
      <c r="D17" s="189" t="s">
        <v>282</v>
      </c>
      <c r="E17" s="189" t="s">
        <v>362</v>
      </c>
      <c r="F17" s="174" t="s">
        <v>132</v>
      </c>
      <c r="G17" s="136" t="s">
        <v>132</v>
      </c>
      <c r="H17" s="136" t="s">
        <v>132</v>
      </c>
      <c r="I17" s="190">
        <f>I18+I20+I22</f>
        <v>1600.5</v>
      </c>
      <c r="J17" s="190">
        <f>J18+J20+J22</f>
        <v>1600.5</v>
      </c>
      <c r="K17" s="190">
        <f>K18+K20+K22</f>
        <v>1485</v>
      </c>
    </row>
    <row r="18" spans="1:11" ht="31.5">
      <c r="A18" s="188" t="s">
        <v>379</v>
      </c>
      <c r="B18" s="189" t="s">
        <v>11</v>
      </c>
      <c r="C18" s="138" t="s">
        <v>116</v>
      </c>
      <c r="D18" s="189" t="s">
        <v>282</v>
      </c>
      <c r="E18" s="189" t="s">
        <v>362</v>
      </c>
      <c r="F18" s="174" t="s">
        <v>132</v>
      </c>
      <c r="G18" s="136" t="s">
        <v>132</v>
      </c>
      <c r="H18" s="136" t="s">
        <v>132</v>
      </c>
      <c r="I18" s="190">
        <f>I19</f>
        <v>776.6</v>
      </c>
      <c r="J18" s="190">
        <f>J19</f>
        <v>776.6</v>
      </c>
      <c r="K18" s="190">
        <f>K19</f>
        <v>776.6</v>
      </c>
    </row>
    <row r="19" spans="1:11" ht="47.25">
      <c r="A19" s="188" t="s">
        <v>306</v>
      </c>
      <c r="B19" s="189" t="s">
        <v>11</v>
      </c>
      <c r="C19" s="138">
        <v>1</v>
      </c>
      <c r="D19" s="189" t="s">
        <v>282</v>
      </c>
      <c r="E19" s="189">
        <v>29560</v>
      </c>
      <c r="F19" s="174">
        <v>240</v>
      </c>
      <c r="G19" s="136">
        <v>3</v>
      </c>
      <c r="H19" s="136">
        <v>9</v>
      </c>
      <c r="I19" s="190">
        <f>'Приложение 6'!J113</f>
        <v>776.6</v>
      </c>
      <c r="J19" s="190">
        <f>'Приложение 6'!K113</f>
        <v>776.6</v>
      </c>
      <c r="K19" s="190">
        <f>'Приложение 6'!L113</f>
        <v>776.6</v>
      </c>
    </row>
    <row r="20" spans="1:11" ht="78.75">
      <c r="A20" s="188" t="s">
        <v>353</v>
      </c>
      <c r="B20" s="189" t="s">
        <v>11</v>
      </c>
      <c r="C20" s="138">
        <v>3</v>
      </c>
      <c r="D20" s="189" t="s">
        <v>282</v>
      </c>
      <c r="E20" s="189" t="s">
        <v>362</v>
      </c>
      <c r="F20" s="174"/>
      <c r="G20" s="136"/>
      <c r="H20" s="136"/>
      <c r="I20" s="190">
        <f>SUM(I21:I21)</f>
        <v>290.89999999999998</v>
      </c>
      <c r="J20" s="190">
        <f>SUM(J21:J21)</f>
        <v>290.89999999999998</v>
      </c>
      <c r="K20" s="190">
        <f>SUM(K21:K21)</f>
        <v>261</v>
      </c>
    </row>
    <row r="21" spans="1:11" ht="47.25">
      <c r="A21" s="188" t="s">
        <v>368</v>
      </c>
      <c r="B21" s="189" t="s">
        <v>11</v>
      </c>
      <c r="C21" s="138">
        <v>3</v>
      </c>
      <c r="D21" s="189" t="s">
        <v>282</v>
      </c>
      <c r="E21" s="189">
        <v>29520</v>
      </c>
      <c r="F21" s="174">
        <v>240</v>
      </c>
      <c r="G21" s="136">
        <v>3</v>
      </c>
      <c r="H21" s="136">
        <v>9</v>
      </c>
      <c r="I21" s="190">
        <f>'Приложение 6'!J116</f>
        <v>290.89999999999998</v>
      </c>
      <c r="J21" s="190">
        <f>'Приложение 6'!K116</f>
        <v>290.89999999999998</v>
      </c>
      <c r="K21" s="190">
        <f>'Приложение 6'!L116</f>
        <v>261</v>
      </c>
    </row>
    <row r="22" spans="1:11" ht="31.5">
      <c r="A22" s="188" t="s">
        <v>354</v>
      </c>
      <c r="B22" s="189" t="s">
        <v>11</v>
      </c>
      <c r="C22" s="138">
        <v>4</v>
      </c>
      <c r="D22" s="189" t="s">
        <v>282</v>
      </c>
      <c r="E22" s="189" t="s">
        <v>362</v>
      </c>
      <c r="F22" s="174"/>
      <c r="G22" s="136"/>
      <c r="H22" s="136"/>
      <c r="I22" s="190">
        <f>SUM(I23:I23)</f>
        <v>533</v>
      </c>
      <c r="J22" s="190">
        <f>SUM(J23:J23)</f>
        <v>533</v>
      </c>
      <c r="K22" s="190">
        <f>SUM(K23:K23)</f>
        <v>447.4</v>
      </c>
    </row>
    <row r="23" spans="1:11" ht="31.5">
      <c r="A23" s="188" t="s">
        <v>309</v>
      </c>
      <c r="B23" s="189" t="s">
        <v>11</v>
      </c>
      <c r="C23" s="138">
        <v>4</v>
      </c>
      <c r="D23" s="189" t="s">
        <v>282</v>
      </c>
      <c r="E23" s="189">
        <v>29530</v>
      </c>
      <c r="F23" s="174">
        <v>240</v>
      </c>
      <c r="G23" s="136">
        <v>3</v>
      </c>
      <c r="H23" s="136">
        <v>10</v>
      </c>
      <c r="I23" s="190">
        <f>'Приложение 6'!J125</f>
        <v>533</v>
      </c>
      <c r="J23" s="190">
        <f>'Приложение 6'!K125</f>
        <v>533</v>
      </c>
      <c r="K23" s="190">
        <f>'Приложение 6'!L125</f>
        <v>447.4</v>
      </c>
    </row>
    <row r="24" spans="1:11" ht="47.25">
      <c r="A24" s="188" t="s">
        <v>470</v>
      </c>
      <c r="B24" s="189" t="s">
        <v>10</v>
      </c>
      <c r="C24" s="138" t="s">
        <v>118</v>
      </c>
      <c r="D24" s="189" t="s">
        <v>282</v>
      </c>
      <c r="E24" s="189" t="s">
        <v>362</v>
      </c>
      <c r="F24" s="174" t="s">
        <v>132</v>
      </c>
      <c r="G24" s="136" t="s">
        <v>132</v>
      </c>
      <c r="H24" s="136" t="s">
        <v>132</v>
      </c>
      <c r="I24" s="190">
        <f>I25+I32+I37+I46</f>
        <v>78303.400000000009</v>
      </c>
      <c r="J24" s="190">
        <f>J25+J32+J37+J46</f>
        <v>78303.400000000009</v>
      </c>
      <c r="K24" s="190">
        <f>K25+K32+K37+K46</f>
        <v>65788.600000000006</v>
      </c>
    </row>
    <row r="25" spans="1:11" ht="63">
      <c r="A25" s="188" t="s">
        <v>380</v>
      </c>
      <c r="B25" s="189" t="s">
        <v>10</v>
      </c>
      <c r="C25" s="138" t="s">
        <v>116</v>
      </c>
      <c r="D25" s="189" t="s">
        <v>282</v>
      </c>
      <c r="E25" s="189" t="s">
        <v>362</v>
      </c>
      <c r="F25" s="174" t="s">
        <v>132</v>
      </c>
      <c r="G25" s="136" t="s">
        <v>132</v>
      </c>
      <c r="H25" s="136" t="s">
        <v>132</v>
      </c>
      <c r="I25" s="190">
        <f>SUM(I26:I31)</f>
        <v>35471.300000000003</v>
      </c>
      <c r="J25" s="190">
        <f>SUM(J26:J31)</f>
        <v>35471.300000000003</v>
      </c>
      <c r="K25" s="190">
        <f>SUM(K26:K31)</f>
        <v>28100.9</v>
      </c>
    </row>
    <row r="26" spans="1:11" ht="31.5">
      <c r="A26" s="188" t="s">
        <v>58</v>
      </c>
      <c r="B26" s="189" t="s">
        <v>10</v>
      </c>
      <c r="C26" s="138">
        <v>1</v>
      </c>
      <c r="D26" s="189" t="s">
        <v>282</v>
      </c>
      <c r="E26" s="189">
        <v>29100</v>
      </c>
      <c r="F26" s="174">
        <v>240</v>
      </c>
      <c r="G26" s="136">
        <v>4</v>
      </c>
      <c r="H26" s="136">
        <v>9</v>
      </c>
      <c r="I26" s="190">
        <f>'Приложение 6'!J131</f>
        <v>12680.199999999999</v>
      </c>
      <c r="J26" s="190">
        <f>'Приложение 6'!K131</f>
        <v>12680.199999999999</v>
      </c>
      <c r="K26" s="190">
        <f>'Приложение 6'!L131</f>
        <v>9804.6</v>
      </c>
    </row>
    <row r="27" spans="1:11" ht="31.5">
      <c r="A27" s="188" t="s">
        <v>59</v>
      </c>
      <c r="B27" s="189" t="s">
        <v>10</v>
      </c>
      <c r="C27" s="138">
        <v>1</v>
      </c>
      <c r="D27" s="189" t="s">
        <v>282</v>
      </c>
      <c r="E27" s="189">
        <v>29120</v>
      </c>
      <c r="F27" s="174">
        <v>240</v>
      </c>
      <c r="G27" s="136">
        <v>4</v>
      </c>
      <c r="H27" s="136">
        <v>9</v>
      </c>
      <c r="I27" s="190">
        <f>'Приложение 6'!J133</f>
        <v>1168.4000000000001</v>
      </c>
      <c r="J27" s="190">
        <f>'Приложение 6'!K133</f>
        <v>1168.4000000000001</v>
      </c>
      <c r="K27" s="190">
        <f>'Приложение 6'!L133</f>
        <v>1168.3</v>
      </c>
    </row>
    <row r="28" spans="1:11" ht="31.5">
      <c r="A28" s="188" t="s">
        <v>96</v>
      </c>
      <c r="B28" s="189" t="s">
        <v>10</v>
      </c>
      <c r="C28" s="138">
        <v>1</v>
      </c>
      <c r="D28" s="189" t="s">
        <v>282</v>
      </c>
      <c r="E28" s="189">
        <v>29130</v>
      </c>
      <c r="F28" s="174">
        <v>240</v>
      </c>
      <c r="G28" s="136">
        <v>4</v>
      </c>
      <c r="H28" s="136">
        <v>9</v>
      </c>
      <c r="I28" s="190">
        <f>'Приложение 6'!J135</f>
        <v>28</v>
      </c>
      <c r="J28" s="190">
        <f>'Приложение 6'!K135</f>
        <v>28</v>
      </c>
      <c r="K28" s="190">
        <f>'Приложение 6'!L135</f>
        <v>28</v>
      </c>
    </row>
    <row r="29" spans="1:11" ht="31.5">
      <c r="A29" s="188" t="s">
        <v>126</v>
      </c>
      <c r="B29" s="189" t="s">
        <v>10</v>
      </c>
      <c r="C29" s="138">
        <v>1</v>
      </c>
      <c r="D29" s="189" t="s">
        <v>282</v>
      </c>
      <c r="E29" s="189">
        <v>29330</v>
      </c>
      <c r="F29" s="174">
        <v>240</v>
      </c>
      <c r="G29" s="136">
        <v>4</v>
      </c>
      <c r="H29" s="136">
        <v>9</v>
      </c>
      <c r="I29" s="190">
        <f>'Приложение 6'!J137</f>
        <v>5855.1</v>
      </c>
      <c r="J29" s="190">
        <f>'Приложение 6'!K137</f>
        <v>5855.1</v>
      </c>
      <c r="K29" s="190">
        <f>'Приложение 6'!L137</f>
        <v>2808.8</v>
      </c>
    </row>
    <row r="30" spans="1:11" ht="31.5">
      <c r="A30" s="148" t="s">
        <v>537</v>
      </c>
      <c r="B30" s="189" t="s">
        <v>10</v>
      </c>
      <c r="C30" s="138">
        <v>1</v>
      </c>
      <c r="D30" s="189" t="s">
        <v>282</v>
      </c>
      <c r="E30" s="189" t="s">
        <v>538</v>
      </c>
      <c r="F30" s="174">
        <v>410</v>
      </c>
      <c r="G30" s="136">
        <v>4</v>
      </c>
      <c r="H30" s="136">
        <v>9</v>
      </c>
      <c r="I30" s="190">
        <f>'Приложение 6'!J139</f>
        <v>13532.8</v>
      </c>
      <c r="J30" s="190">
        <f>'Приложение 6'!K139</f>
        <v>13532.8</v>
      </c>
      <c r="K30" s="190">
        <f>'Приложение 6'!L139</f>
        <v>12615</v>
      </c>
    </row>
    <row r="31" spans="1:11" ht="31.5">
      <c r="A31" s="188" t="s">
        <v>86</v>
      </c>
      <c r="B31" s="189" t="s">
        <v>10</v>
      </c>
      <c r="C31" s="138">
        <v>1</v>
      </c>
      <c r="D31" s="189" t="s">
        <v>282</v>
      </c>
      <c r="E31" s="189">
        <v>29590</v>
      </c>
      <c r="F31" s="174">
        <v>240</v>
      </c>
      <c r="G31" s="136">
        <v>4</v>
      </c>
      <c r="H31" s="136">
        <v>9</v>
      </c>
      <c r="I31" s="190">
        <f>'Приложение 6'!J141</f>
        <v>2206.8000000000002</v>
      </c>
      <c r="J31" s="190">
        <f>'Приложение 6'!K141</f>
        <v>2206.8000000000002</v>
      </c>
      <c r="K31" s="190">
        <f>'Приложение 6'!L141</f>
        <v>1676.2</v>
      </c>
    </row>
    <row r="32" spans="1:11" ht="31.5">
      <c r="A32" s="188" t="s">
        <v>90</v>
      </c>
      <c r="B32" s="189" t="s">
        <v>10</v>
      </c>
      <c r="C32" s="138">
        <v>2</v>
      </c>
      <c r="D32" s="189" t="s">
        <v>282</v>
      </c>
      <c r="E32" s="189" t="s">
        <v>362</v>
      </c>
      <c r="F32" s="174"/>
      <c r="G32" s="136"/>
      <c r="H32" s="136"/>
      <c r="I32" s="190">
        <f>SUM(I33:I36)</f>
        <v>10651.300000000001</v>
      </c>
      <c r="J32" s="190">
        <f>SUM(J33:J36)</f>
        <v>10951.3</v>
      </c>
      <c r="K32" s="190">
        <f>SUM(K33:K36)</f>
        <v>9132.6999999999989</v>
      </c>
    </row>
    <row r="33" spans="1:11" ht="31.5">
      <c r="A33" s="148" t="s">
        <v>472</v>
      </c>
      <c r="B33" s="189" t="s">
        <v>10</v>
      </c>
      <c r="C33" s="138">
        <v>2</v>
      </c>
      <c r="D33" s="189" t="s">
        <v>282</v>
      </c>
      <c r="E33" s="189" t="s">
        <v>473</v>
      </c>
      <c r="F33" s="174">
        <v>240</v>
      </c>
      <c r="G33" s="136">
        <v>5</v>
      </c>
      <c r="H33" s="136">
        <v>3</v>
      </c>
      <c r="I33" s="190">
        <f>'Приложение 6'!J180</f>
        <v>866.59999999999991</v>
      </c>
      <c r="J33" s="190">
        <f>'Приложение 6'!K180</f>
        <v>866.59999999999991</v>
      </c>
      <c r="K33" s="190">
        <f>'Приложение 6'!L180</f>
        <v>701.2</v>
      </c>
    </row>
    <row r="34" spans="1:11" ht="31.5">
      <c r="A34" s="188" t="s">
        <v>63</v>
      </c>
      <c r="B34" s="189" t="s">
        <v>10</v>
      </c>
      <c r="C34" s="189" t="s">
        <v>290</v>
      </c>
      <c r="D34" s="189" t="s">
        <v>282</v>
      </c>
      <c r="E34" s="189" t="s">
        <v>323</v>
      </c>
      <c r="F34" s="189" t="s">
        <v>117</v>
      </c>
      <c r="G34" s="189" t="s">
        <v>14</v>
      </c>
      <c r="H34" s="189" t="s">
        <v>10</v>
      </c>
      <c r="I34" s="190">
        <f>'Приложение 6'!J182</f>
        <v>7806</v>
      </c>
      <c r="J34" s="190">
        <f>'Приложение 6'!K182</f>
        <v>7805.6</v>
      </c>
      <c r="K34" s="190">
        <f>'Приложение 6'!L182</f>
        <v>6152.9</v>
      </c>
    </row>
    <row r="35" spans="1:11" ht="31.5">
      <c r="A35" s="188" t="s">
        <v>63</v>
      </c>
      <c r="B35" s="189" t="s">
        <v>10</v>
      </c>
      <c r="C35" s="189" t="s">
        <v>290</v>
      </c>
      <c r="D35" s="189" t="s">
        <v>282</v>
      </c>
      <c r="E35" s="189" t="s">
        <v>323</v>
      </c>
      <c r="F35" s="189" t="s">
        <v>366</v>
      </c>
      <c r="G35" s="189" t="s">
        <v>14</v>
      </c>
      <c r="H35" s="189" t="s">
        <v>10</v>
      </c>
      <c r="I35" s="190">
        <f>'Приложение 6'!J183</f>
        <v>0</v>
      </c>
      <c r="J35" s="190">
        <f>'Приложение 6'!K183</f>
        <v>0.4</v>
      </c>
      <c r="K35" s="190">
        <f>'Приложение 6'!L183</f>
        <v>0.4</v>
      </c>
    </row>
    <row r="36" spans="1:11" ht="31.5">
      <c r="A36" s="188" t="s">
        <v>66</v>
      </c>
      <c r="B36" s="189" t="s">
        <v>10</v>
      </c>
      <c r="C36" s="189" t="s">
        <v>290</v>
      </c>
      <c r="D36" s="189" t="s">
        <v>282</v>
      </c>
      <c r="E36" s="189" t="s">
        <v>324</v>
      </c>
      <c r="F36" s="189" t="s">
        <v>117</v>
      </c>
      <c r="G36" s="189" t="s">
        <v>14</v>
      </c>
      <c r="H36" s="189" t="s">
        <v>10</v>
      </c>
      <c r="I36" s="190">
        <f>'Приложение 6'!J185</f>
        <v>1978.7</v>
      </c>
      <c r="J36" s="190">
        <f>'Приложение 6'!K185</f>
        <v>2278.6999999999998</v>
      </c>
      <c r="K36" s="190">
        <f>'Приложение 6'!L185</f>
        <v>2278.1999999999998</v>
      </c>
    </row>
    <row r="37" spans="1:11" ht="47.25">
      <c r="A37" s="188" t="s">
        <v>91</v>
      </c>
      <c r="B37" s="189" t="s">
        <v>10</v>
      </c>
      <c r="C37" s="138">
        <v>3</v>
      </c>
      <c r="D37" s="189" t="s">
        <v>282</v>
      </c>
      <c r="E37" s="189" t="s">
        <v>362</v>
      </c>
      <c r="F37" s="174"/>
      <c r="G37" s="136"/>
      <c r="H37" s="136"/>
      <c r="I37" s="190">
        <f>SUM(I38:I45)</f>
        <v>14531.7</v>
      </c>
      <c r="J37" s="190">
        <f>SUM(J38:J45)</f>
        <v>14231.7</v>
      </c>
      <c r="K37" s="190">
        <f>SUM(K38:K45)</f>
        <v>13108.400000000001</v>
      </c>
    </row>
    <row r="38" spans="1:11" ht="31.5">
      <c r="A38" s="188" t="s">
        <v>418</v>
      </c>
      <c r="B38" s="189" t="s">
        <v>10</v>
      </c>
      <c r="C38" s="189" t="s">
        <v>120</v>
      </c>
      <c r="D38" s="189" t="s">
        <v>282</v>
      </c>
      <c r="E38" s="189" t="s">
        <v>419</v>
      </c>
      <c r="F38" s="189" t="s">
        <v>117</v>
      </c>
      <c r="G38" s="189" t="s">
        <v>14</v>
      </c>
      <c r="H38" s="189" t="s">
        <v>10</v>
      </c>
      <c r="I38" s="190">
        <f>'Приложение 6'!J188</f>
        <v>1060</v>
      </c>
      <c r="J38" s="190">
        <f>'Приложение 6'!K188</f>
        <v>760</v>
      </c>
      <c r="K38" s="190">
        <f>'Приложение 6'!L188</f>
        <v>723</v>
      </c>
    </row>
    <row r="39" spans="1:11" ht="31.5">
      <c r="A39" s="188" t="s">
        <v>65</v>
      </c>
      <c r="B39" s="189" t="s">
        <v>10</v>
      </c>
      <c r="C39" s="189" t="s">
        <v>120</v>
      </c>
      <c r="D39" s="189" t="s">
        <v>282</v>
      </c>
      <c r="E39" s="189" t="s">
        <v>325</v>
      </c>
      <c r="F39" s="189" t="s">
        <v>117</v>
      </c>
      <c r="G39" s="189" t="s">
        <v>14</v>
      </c>
      <c r="H39" s="189" t="s">
        <v>10</v>
      </c>
      <c r="I39" s="190">
        <f>'Приложение 6'!J190</f>
        <v>1276.3</v>
      </c>
      <c r="J39" s="190">
        <f>'Приложение 6'!K190</f>
        <v>1289.2</v>
      </c>
      <c r="K39" s="190">
        <f>'Приложение 6'!L190</f>
        <v>1231.4000000000001</v>
      </c>
    </row>
    <row r="40" spans="1:11" ht="31.5">
      <c r="A40" s="188" t="s">
        <v>67</v>
      </c>
      <c r="B40" s="189" t="s">
        <v>10</v>
      </c>
      <c r="C40" s="189" t="s">
        <v>120</v>
      </c>
      <c r="D40" s="189" t="s">
        <v>282</v>
      </c>
      <c r="E40" s="189" t="s">
        <v>381</v>
      </c>
      <c r="F40" s="189" t="s">
        <v>117</v>
      </c>
      <c r="G40" s="189" t="s">
        <v>14</v>
      </c>
      <c r="H40" s="189" t="s">
        <v>10</v>
      </c>
      <c r="I40" s="190">
        <f>'Приложение 6'!J192</f>
        <v>820</v>
      </c>
      <c r="J40" s="190">
        <f>'Приложение 6'!K192</f>
        <v>820</v>
      </c>
      <c r="K40" s="190">
        <f>'Приложение 6'!L192</f>
        <v>517.4</v>
      </c>
    </row>
    <row r="41" spans="1:11" ht="31.5">
      <c r="A41" s="188" t="s">
        <v>68</v>
      </c>
      <c r="B41" s="189" t="s">
        <v>10</v>
      </c>
      <c r="C41" s="189" t="s">
        <v>120</v>
      </c>
      <c r="D41" s="189" t="s">
        <v>282</v>
      </c>
      <c r="E41" s="189" t="s">
        <v>326</v>
      </c>
      <c r="F41" s="189" t="s">
        <v>117</v>
      </c>
      <c r="G41" s="189" t="s">
        <v>14</v>
      </c>
      <c r="H41" s="189" t="s">
        <v>10</v>
      </c>
      <c r="I41" s="190">
        <f>'Приложение 6'!J194</f>
        <v>5628.0000000000009</v>
      </c>
      <c r="J41" s="190">
        <f>'Приложение 6'!K194</f>
        <v>6028</v>
      </c>
      <c r="K41" s="190">
        <f>'Приложение 6'!L194</f>
        <v>5444.8</v>
      </c>
    </row>
    <row r="42" spans="1:11" ht="31.5">
      <c r="A42" s="188" t="s">
        <v>327</v>
      </c>
      <c r="B42" s="189" t="s">
        <v>10</v>
      </c>
      <c r="C42" s="189" t="s">
        <v>120</v>
      </c>
      <c r="D42" s="189" t="s">
        <v>282</v>
      </c>
      <c r="E42" s="189" t="s">
        <v>328</v>
      </c>
      <c r="F42" s="189" t="s">
        <v>117</v>
      </c>
      <c r="G42" s="189" t="s">
        <v>14</v>
      </c>
      <c r="H42" s="189" t="s">
        <v>10</v>
      </c>
      <c r="I42" s="190">
        <f>'Приложение 6'!J196</f>
        <v>3064</v>
      </c>
      <c r="J42" s="190">
        <f>'Приложение 6'!K196</f>
        <v>3064</v>
      </c>
      <c r="K42" s="190">
        <f>'Приложение 6'!L196</f>
        <v>3063.8</v>
      </c>
    </row>
    <row r="43" spans="1:11" ht="31.5">
      <c r="A43" s="188" t="s">
        <v>87</v>
      </c>
      <c r="B43" s="189" t="s">
        <v>10</v>
      </c>
      <c r="C43" s="189" t="s">
        <v>120</v>
      </c>
      <c r="D43" s="189" t="s">
        <v>282</v>
      </c>
      <c r="E43" s="189" t="s">
        <v>329</v>
      </c>
      <c r="F43" s="189" t="s">
        <v>117</v>
      </c>
      <c r="G43" s="189" t="s">
        <v>14</v>
      </c>
      <c r="H43" s="189" t="s">
        <v>10</v>
      </c>
      <c r="I43" s="190">
        <f>'Приложение 6'!J198</f>
        <v>200</v>
      </c>
      <c r="J43" s="190">
        <f>'Приложение 6'!K198</f>
        <v>200</v>
      </c>
      <c r="K43" s="190">
        <f>'Приложение 6'!L198</f>
        <v>142.9</v>
      </c>
    </row>
    <row r="44" spans="1:11" ht="31.5">
      <c r="A44" s="188" t="s">
        <v>374</v>
      </c>
      <c r="B44" s="189" t="s">
        <v>10</v>
      </c>
      <c r="C44" s="189" t="s">
        <v>120</v>
      </c>
      <c r="D44" s="189" t="s">
        <v>282</v>
      </c>
      <c r="E44" s="189" t="s">
        <v>375</v>
      </c>
      <c r="F44" s="189" t="s">
        <v>117</v>
      </c>
      <c r="G44" s="189" t="s">
        <v>14</v>
      </c>
      <c r="H44" s="189" t="s">
        <v>10</v>
      </c>
      <c r="I44" s="190">
        <f>'Приложение 6'!J200</f>
        <v>1844.8</v>
      </c>
      <c r="J44" s="190">
        <f>'Приложение 6'!K200</f>
        <v>1431.9</v>
      </c>
      <c r="K44" s="190">
        <f>'Приложение 6'!L200</f>
        <v>1427</v>
      </c>
    </row>
    <row r="45" spans="1:11" ht="31.5">
      <c r="A45" s="188" t="s">
        <v>474</v>
      </c>
      <c r="B45" s="189" t="s">
        <v>10</v>
      </c>
      <c r="C45" s="189" t="s">
        <v>120</v>
      </c>
      <c r="D45" s="189" t="s">
        <v>282</v>
      </c>
      <c r="E45" s="189" t="s">
        <v>475</v>
      </c>
      <c r="F45" s="189" t="s">
        <v>117</v>
      </c>
      <c r="G45" s="189" t="s">
        <v>14</v>
      </c>
      <c r="H45" s="189" t="s">
        <v>10</v>
      </c>
      <c r="I45" s="190">
        <f>'Приложение 6'!J202</f>
        <v>638.60000000000036</v>
      </c>
      <c r="J45" s="190">
        <f>'Приложение 6'!K202</f>
        <v>638.60000000000036</v>
      </c>
      <c r="K45" s="190">
        <f>'Приложение 6'!L202</f>
        <v>558.1</v>
      </c>
    </row>
    <row r="46" spans="1:11" ht="31.5">
      <c r="A46" s="188" t="s">
        <v>382</v>
      </c>
      <c r="B46" s="189" t="s">
        <v>10</v>
      </c>
      <c r="C46" s="138">
        <v>4</v>
      </c>
      <c r="D46" s="189" t="s">
        <v>282</v>
      </c>
      <c r="E46" s="189" t="s">
        <v>362</v>
      </c>
      <c r="F46" s="174"/>
      <c r="G46" s="136"/>
      <c r="H46" s="136"/>
      <c r="I46" s="190">
        <f>SUM(I47:I49)</f>
        <v>17649.100000000002</v>
      </c>
      <c r="J46" s="190">
        <f>SUM(J47:J49)</f>
        <v>17649.100000000002</v>
      </c>
      <c r="K46" s="190">
        <f>SUM(K47:K49)</f>
        <v>15446.6</v>
      </c>
    </row>
    <row r="47" spans="1:11" ht="31.5">
      <c r="A47" s="188" t="s">
        <v>70</v>
      </c>
      <c r="B47" s="189" t="s">
        <v>10</v>
      </c>
      <c r="C47" s="189" t="s">
        <v>355</v>
      </c>
      <c r="D47" s="189" t="s">
        <v>282</v>
      </c>
      <c r="E47" s="189" t="s">
        <v>331</v>
      </c>
      <c r="F47" s="189" t="s">
        <v>383</v>
      </c>
      <c r="G47" s="189" t="s">
        <v>14</v>
      </c>
      <c r="H47" s="189" t="s">
        <v>14</v>
      </c>
      <c r="I47" s="190">
        <f>'Приложение 6'!J212</f>
        <v>14038.2</v>
      </c>
      <c r="J47" s="190">
        <f>'Приложение 6'!K212</f>
        <v>14038.2</v>
      </c>
      <c r="K47" s="190">
        <f>'Приложение 6'!L212</f>
        <v>12296</v>
      </c>
    </row>
    <row r="48" spans="1:11" ht="31.5">
      <c r="A48" s="188" t="s">
        <v>70</v>
      </c>
      <c r="B48" s="189" t="s">
        <v>10</v>
      </c>
      <c r="C48" s="189" t="s">
        <v>355</v>
      </c>
      <c r="D48" s="189" t="s">
        <v>282</v>
      </c>
      <c r="E48" s="189" t="s">
        <v>331</v>
      </c>
      <c r="F48" s="189" t="s">
        <v>117</v>
      </c>
      <c r="G48" s="189" t="s">
        <v>14</v>
      </c>
      <c r="H48" s="189" t="s">
        <v>14</v>
      </c>
      <c r="I48" s="190">
        <f>'Приложение 6'!J213</f>
        <v>3563.9</v>
      </c>
      <c r="J48" s="190">
        <f>'Приложение 6'!K213</f>
        <v>3563.9</v>
      </c>
      <c r="K48" s="190">
        <f>'Приложение 6'!L213</f>
        <v>3108.6</v>
      </c>
    </row>
    <row r="49" spans="1:11" ht="31.5">
      <c r="A49" s="188" t="s">
        <v>70</v>
      </c>
      <c r="B49" s="189" t="s">
        <v>10</v>
      </c>
      <c r="C49" s="189" t="s">
        <v>355</v>
      </c>
      <c r="D49" s="189" t="s">
        <v>282</v>
      </c>
      <c r="E49" s="189" t="s">
        <v>331</v>
      </c>
      <c r="F49" s="189" t="s">
        <v>366</v>
      </c>
      <c r="G49" s="189" t="s">
        <v>14</v>
      </c>
      <c r="H49" s="189" t="s">
        <v>14</v>
      </c>
      <c r="I49" s="190">
        <f>'Приложение 6'!J214</f>
        <v>47</v>
      </c>
      <c r="J49" s="190">
        <f>'Приложение 6'!K214</f>
        <v>47</v>
      </c>
      <c r="K49" s="190">
        <f>'Приложение 6'!L214</f>
        <v>42</v>
      </c>
    </row>
    <row r="50" spans="1:11" ht="63">
      <c r="A50" s="188" t="s">
        <v>471</v>
      </c>
      <c r="B50" s="189" t="s">
        <v>13</v>
      </c>
      <c r="C50" s="138" t="s">
        <v>118</v>
      </c>
      <c r="D50" s="189" t="s">
        <v>282</v>
      </c>
      <c r="E50" s="189" t="s">
        <v>362</v>
      </c>
      <c r="F50" s="174" t="s">
        <v>132</v>
      </c>
      <c r="G50" s="136" t="s">
        <v>132</v>
      </c>
      <c r="H50" s="136" t="s">
        <v>132</v>
      </c>
      <c r="I50" s="190">
        <f>SUM(I51:I51)</f>
        <v>30</v>
      </c>
      <c r="J50" s="190">
        <f>SUM(J51:J51)</f>
        <v>30</v>
      </c>
      <c r="K50" s="190">
        <f>SUM(K51:K51)</f>
        <v>30</v>
      </c>
    </row>
    <row r="51" spans="1:11" ht="31.5">
      <c r="A51" s="188" t="s">
        <v>104</v>
      </c>
      <c r="B51" s="189" t="s">
        <v>13</v>
      </c>
      <c r="C51" s="138">
        <v>0</v>
      </c>
      <c r="D51" s="189" t="s">
        <v>282</v>
      </c>
      <c r="E51" s="189">
        <v>29910</v>
      </c>
      <c r="F51" s="174">
        <v>810</v>
      </c>
      <c r="G51" s="136">
        <v>4</v>
      </c>
      <c r="H51" s="136">
        <v>12</v>
      </c>
      <c r="I51" s="190">
        <f>'Приложение 6'!J150</f>
        <v>30</v>
      </c>
      <c r="J51" s="190">
        <f>'Приложение 6'!K150</f>
        <v>30</v>
      </c>
      <c r="K51" s="190">
        <f>'Приложение 6'!L150</f>
        <v>30</v>
      </c>
    </row>
    <row r="52" spans="1:11" ht="47.25">
      <c r="A52" s="188" t="s">
        <v>372</v>
      </c>
      <c r="B52" s="189" t="s">
        <v>14</v>
      </c>
      <c r="C52" s="138" t="s">
        <v>118</v>
      </c>
      <c r="D52" s="189" t="s">
        <v>282</v>
      </c>
      <c r="E52" s="189" t="s">
        <v>362</v>
      </c>
      <c r="F52" s="174" t="s">
        <v>132</v>
      </c>
      <c r="G52" s="136" t="s">
        <v>132</v>
      </c>
      <c r="H52" s="136" t="s">
        <v>132</v>
      </c>
      <c r="I52" s="190">
        <f>I53+I55+I59</f>
        <v>20881.899999999998</v>
      </c>
      <c r="J52" s="190">
        <f>J53+J55+J59</f>
        <v>20858.699999999997</v>
      </c>
      <c r="K52" s="190">
        <f>K53+K55+K59</f>
        <v>10299.700000000001</v>
      </c>
    </row>
    <row r="53" spans="1:11" ht="31.5">
      <c r="A53" s="188" t="s">
        <v>92</v>
      </c>
      <c r="B53" s="189" t="s">
        <v>14</v>
      </c>
      <c r="C53" s="138" t="s">
        <v>116</v>
      </c>
      <c r="D53" s="189" t="s">
        <v>282</v>
      </c>
      <c r="E53" s="189" t="s">
        <v>362</v>
      </c>
      <c r="F53" s="174" t="s">
        <v>132</v>
      </c>
      <c r="G53" s="136" t="s">
        <v>132</v>
      </c>
      <c r="H53" s="136" t="s">
        <v>132</v>
      </c>
      <c r="I53" s="190">
        <f>I54</f>
        <v>100</v>
      </c>
      <c r="J53" s="190">
        <f>J54</f>
        <v>76.8</v>
      </c>
      <c r="K53" s="190">
        <f>K54</f>
        <v>70.2</v>
      </c>
    </row>
    <row r="54" spans="1:11" ht="31.5">
      <c r="A54" s="188" t="s">
        <v>129</v>
      </c>
      <c r="B54" s="189" t="s">
        <v>14</v>
      </c>
      <c r="C54" s="138">
        <v>1</v>
      </c>
      <c r="D54" s="189" t="s">
        <v>282</v>
      </c>
      <c r="E54" s="189">
        <v>29420</v>
      </c>
      <c r="F54" s="174">
        <v>240</v>
      </c>
      <c r="G54" s="136">
        <v>5</v>
      </c>
      <c r="H54" s="136">
        <v>1</v>
      </c>
      <c r="I54" s="190">
        <f>'Приложение 6'!J156</f>
        <v>100</v>
      </c>
      <c r="J54" s="190">
        <f>'Приложение 6'!K156</f>
        <v>76.8</v>
      </c>
      <c r="K54" s="190">
        <f>'Приложение 6'!L156</f>
        <v>70.2</v>
      </c>
    </row>
    <row r="55" spans="1:11" ht="31.5">
      <c r="A55" s="188" t="s">
        <v>562</v>
      </c>
      <c r="B55" s="189" t="s">
        <v>14</v>
      </c>
      <c r="C55" s="138">
        <v>5</v>
      </c>
      <c r="D55" s="189" t="s">
        <v>282</v>
      </c>
      <c r="E55" s="189" t="s">
        <v>362</v>
      </c>
      <c r="F55" s="174"/>
      <c r="G55" s="136"/>
      <c r="H55" s="136"/>
      <c r="I55" s="190">
        <f>SUM(I56:I58)</f>
        <v>2536.3000000000002</v>
      </c>
      <c r="J55" s="190">
        <f>SUM(J56:J58)</f>
        <v>2536.3000000000002</v>
      </c>
      <c r="K55" s="190">
        <f>SUM(K56:K58)</f>
        <v>2515.1</v>
      </c>
    </row>
    <row r="56" spans="1:11" ht="31.5">
      <c r="A56" s="188" t="s">
        <v>540</v>
      </c>
      <c r="B56" s="189" t="s">
        <v>14</v>
      </c>
      <c r="C56" s="138">
        <v>5</v>
      </c>
      <c r="D56" s="189" t="s">
        <v>282</v>
      </c>
      <c r="E56" s="189" t="s">
        <v>541</v>
      </c>
      <c r="F56" s="174">
        <v>240</v>
      </c>
      <c r="G56" s="136">
        <v>5</v>
      </c>
      <c r="H56" s="136">
        <v>1</v>
      </c>
      <c r="I56" s="190">
        <f>'Приложение 6'!J159</f>
        <v>997.9</v>
      </c>
      <c r="J56" s="190">
        <f>'Приложение 6'!K159</f>
        <v>991.4</v>
      </c>
      <c r="K56" s="190">
        <f>'Приложение 6'!L159</f>
        <v>970.3</v>
      </c>
    </row>
    <row r="57" spans="1:11" ht="31.5">
      <c r="A57" s="188" t="s">
        <v>540</v>
      </c>
      <c r="B57" s="189" t="s">
        <v>14</v>
      </c>
      <c r="C57" s="138">
        <v>5</v>
      </c>
      <c r="D57" s="189" t="s">
        <v>282</v>
      </c>
      <c r="E57" s="189" t="s">
        <v>541</v>
      </c>
      <c r="F57" s="174">
        <v>850</v>
      </c>
      <c r="G57" s="136">
        <v>5</v>
      </c>
      <c r="H57" s="136">
        <v>1</v>
      </c>
      <c r="I57" s="190">
        <f>'Приложение 6'!J160</f>
        <v>0</v>
      </c>
      <c r="J57" s="190">
        <f>'Приложение 6'!K160</f>
        <v>7.5</v>
      </c>
      <c r="K57" s="190">
        <f>'Приложение 6'!L160</f>
        <v>7.4</v>
      </c>
    </row>
    <row r="58" spans="1:11" ht="31.5">
      <c r="A58" s="188" t="s">
        <v>542</v>
      </c>
      <c r="B58" s="189" t="s">
        <v>14</v>
      </c>
      <c r="C58" s="138">
        <v>5</v>
      </c>
      <c r="D58" s="189" t="s">
        <v>282</v>
      </c>
      <c r="E58" s="189" t="s">
        <v>543</v>
      </c>
      <c r="F58" s="174">
        <v>240</v>
      </c>
      <c r="G58" s="136">
        <v>5</v>
      </c>
      <c r="H58" s="136">
        <v>1</v>
      </c>
      <c r="I58" s="190">
        <f>'Приложение 6'!J162</f>
        <v>1538.4</v>
      </c>
      <c r="J58" s="190">
        <f>'Приложение 6'!K162</f>
        <v>1537.4</v>
      </c>
      <c r="K58" s="190">
        <f>'Приложение 6'!L162</f>
        <v>1537.4</v>
      </c>
    </row>
    <row r="59" spans="1:11" ht="47.25">
      <c r="A59" s="188" t="s">
        <v>356</v>
      </c>
      <c r="B59" s="189" t="s">
        <v>14</v>
      </c>
      <c r="C59" s="138">
        <v>6</v>
      </c>
      <c r="D59" s="189" t="s">
        <v>282</v>
      </c>
      <c r="E59" s="189" t="s">
        <v>362</v>
      </c>
      <c r="F59" s="174"/>
      <c r="G59" s="136"/>
      <c r="H59" s="136"/>
      <c r="I59" s="190">
        <f>SUM(I60:I61)</f>
        <v>18245.599999999999</v>
      </c>
      <c r="J59" s="190">
        <f>SUM(J60:J61)</f>
        <v>18245.599999999999</v>
      </c>
      <c r="K59" s="190">
        <f>SUM(K60:K61)</f>
        <v>7714.4000000000005</v>
      </c>
    </row>
    <row r="60" spans="1:11" ht="31.5">
      <c r="A60" s="188" t="s">
        <v>124</v>
      </c>
      <c r="B60" s="189" t="s">
        <v>14</v>
      </c>
      <c r="C60" s="138">
        <v>6</v>
      </c>
      <c r="D60" s="189" t="s">
        <v>282</v>
      </c>
      <c r="E60" s="189">
        <v>29800</v>
      </c>
      <c r="F60" s="174">
        <v>410</v>
      </c>
      <c r="G60" s="136">
        <v>5</v>
      </c>
      <c r="H60" s="136">
        <v>1</v>
      </c>
      <c r="I60" s="190">
        <f>'Приложение 6'!J165</f>
        <v>18245.599999999999</v>
      </c>
      <c r="J60" s="190">
        <f>'Приложение 6'!K165</f>
        <v>16738.8</v>
      </c>
      <c r="K60" s="190">
        <f>'Приложение 6'!L165</f>
        <v>6207.6</v>
      </c>
    </row>
    <row r="61" spans="1:11" ht="31.5">
      <c r="A61" s="188" t="s">
        <v>124</v>
      </c>
      <c r="B61" s="189" t="s">
        <v>14</v>
      </c>
      <c r="C61" s="138">
        <v>6</v>
      </c>
      <c r="D61" s="189" t="s">
        <v>282</v>
      </c>
      <c r="E61" s="189">
        <v>29800</v>
      </c>
      <c r="F61" s="174">
        <v>850</v>
      </c>
      <c r="G61" s="136">
        <v>5</v>
      </c>
      <c r="H61" s="136">
        <v>1</v>
      </c>
      <c r="I61" s="190">
        <f>'Приложение 6'!J166</f>
        <v>0</v>
      </c>
      <c r="J61" s="190">
        <f>'Приложение 6'!K166</f>
        <v>1506.8</v>
      </c>
      <c r="K61" s="190">
        <f>'Приложение 6'!L166</f>
        <v>1506.8</v>
      </c>
    </row>
    <row r="62" spans="1:11" ht="63">
      <c r="A62" s="188" t="s">
        <v>485</v>
      </c>
      <c r="B62" s="189" t="s">
        <v>61</v>
      </c>
      <c r="C62" s="138" t="s">
        <v>118</v>
      </c>
      <c r="D62" s="189" t="s">
        <v>282</v>
      </c>
      <c r="E62" s="189" t="s">
        <v>362</v>
      </c>
      <c r="F62" s="174" t="s">
        <v>132</v>
      </c>
      <c r="G62" s="136" t="s">
        <v>132</v>
      </c>
      <c r="H62" s="136" t="s">
        <v>132</v>
      </c>
      <c r="I62" s="190">
        <f>I63+I65+I71+I75+I79</f>
        <v>25049.1</v>
      </c>
      <c r="J62" s="190">
        <f>J63+J65+J71+J75+J79</f>
        <v>25237.4</v>
      </c>
      <c r="K62" s="190">
        <f>K63+K65+K71+K75+K79</f>
        <v>20906.400000000001</v>
      </c>
    </row>
    <row r="63" spans="1:11" ht="31.5">
      <c r="A63" s="188" t="s">
        <v>93</v>
      </c>
      <c r="B63" s="189" t="s">
        <v>61</v>
      </c>
      <c r="C63" s="138" t="s">
        <v>116</v>
      </c>
      <c r="D63" s="189" t="s">
        <v>282</v>
      </c>
      <c r="E63" s="189" t="s">
        <v>362</v>
      </c>
      <c r="F63" s="174" t="s">
        <v>132</v>
      </c>
      <c r="G63" s="136" t="s">
        <v>132</v>
      </c>
      <c r="H63" s="136" t="s">
        <v>132</v>
      </c>
      <c r="I63" s="190">
        <f>SUM(I64:I64)</f>
        <v>2121</v>
      </c>
      <c r="J63" s="190">
        <f>SUM(J64:J64)</f>
        <v>2121</v>
      </c>
      <c r="K63" s="190">
        <f>SUM(K64:K64)</f>
        <v>2121</v>
      </c>
    </row>
    <row r="64" spans="1:11" ht="31.5">
      <c r="A64" s="188" t="s">
        <v>544</v>
      </c>
      <c r="B64" s="189" t="s">
        <v>61</v>
      </c>
      <c r="C64" s="138">
        <v>1</v>
      </c>
      <c r="D64" s="189" t="s">
        <v>282</v>
      </c>
      <c r="E64" s="189" t="s">
        <v>545</v>
      </c>
      <c r="F64" s="174">
        <v>520</v>
      </c>
      <c r="G64" s="136">
        <v>7</v>
      </c>
      <c r="H64" s="136">
        <v>7</v>
      </c>
      <c r="I64" s="190">
        <f>'Приложение 6'!J238</f>
        <v>2121</v>
      </c>
      <c r="J64" s="190">
        <f>'Приложение 6'!K238</f>
        <v>2121</v>
      </c>
      <c r="K64" s="190">
        <f>'Приложение 6'!L238</f>
        <v>2121</v>
      </c>
    </row>
    <row r="65" spans="1:11" ht="31.5">
      <c r="A65" s="188" t="s">
        <v>384</v>
      </c>
      <c r="B65" s="189" t="s">
        <v>61</v>
      </c>
      <c r="C65" s="138">
        <v>2</v>
      </c>
      <c r="D65" s="189" t="s">
        <v>282</v>
      </c>
      <c r="E65" s="189" t="s">
        <v>362</v>
      </c>
      <c r="F65" s="174" t="s">
        <v>132</v>
      </c>
      <c r="G65" s="136" t="s">
        <v>132</v>
      </c>
      <c r="H65" s="136" t="s">
        <v>132</v>
      </c>
      <c r="I65" s="190">
        <f>SUM(I66:I70)</f>
        <v>7240.9000000000005</v>
      </c>
      <c r="J65" s="190">
        <f>SUM(J66:J70)</f>
        <v>7429.2000000000007</v>
      </c>
      <c r="K65" s="190">
        <f>SUM(K66:K70)</f>
        <v>5100.7</v>
      </c>
    </row>
    <row r="66" spans="1:11" ht="31.5">
      <c r="A66" s="188" t="s">
        <v>70</v>
      </c>
      <c r="B66" s="189" t="s">
        <v>61</v>
      </c>
      <c r="C66" s="138">
        <v>2</v>
      </c>
      <c r="D66" s="189" t="s">
        <v>282</v>
      </c>
      <c r="E66" s="189" t="s">
        <v>331</v>
      </c>
      <c r="F66" s="174">
        <v>110</v>
      </c>
      <c r="G66" s="136">
        <v>8</v>
      </c>
      <c r="H66" s="136">
        <v>1</v>
      </c>
      <c r="I66" s="190">
        <f>'Приложение 6'!J244</f>
        <v>2281.5</v>
      </c>
      <c r="J66" s="190">
        <f>'Приложение 6'!K244</f>
        <v>2281.5</v>
      </c>
      <c r="K66" s="190">
        <f>'Приложение 6'!L244</f>
        <v>2206.9</v>
      </c>
    </row>
    <row r="67" spans="1:11" ht="31.5">
      <c r="A67" s="188" t="s">
        <v>70</v>
      </c>
      <c r="B67" s="189" t="s">
        <v>61</v>
      </c>
      <c r="C67" s="138">
        <v>2</v>
      </c>
      <c r="D67" s="189" t="s">
        <v>282</v>
      </c>
      <c r="E67" s="189" t="s">
        <v>331</v>
      </c>
      <c r="F67" s="174">
        <v>240</v>
      </c>
      <c r="G67" s="136">
        <v>8</v>
      </c>
      <c r="H67" s="136">
        <v>1</v>
      </c>
      <c r="I67" s="190">
        <f>'Приложение 6'!J245</f>
        <v>1432</v>
      </c>
      <c r="J67" s="190">
        <f>'Приложение 6'!K245</f>
        <v>1620.3</v>
      </c>
      <c r="K67" s="190">
        <f>'Приложение 6'!L245</f>
        <v>1365.7</v>
      </c>
    </row>
    <row r="68" spans="1:11" ht="31.5">
      <c r="A68" s="188" t="s">
        <v>70</v>
      </c>
      <c r="B68" s="189" t="s">
        <v>61</v>
      </c>
      <c r="C68" s="138">
        <v>2</v>
      </c>
      <c r="D68" s="189" t="s">
        <v>282</v>
      </c>
      <c r="E68" s="189" t="s">
        <v>331</v>
      </c>
      <c r="F68" s="174">
        <v>850</v>
      </c>
      <c r="G68" s="136">
        <v>8</v>
      </c>
      <c r="H68" s="136">
        <v>1</v>
      </c>
      <c r="I68" s="190">
        <f>'Приложение 6'!J246</f>
        <v>20</v>
      </c>
      <c r="J68" s="190">
        <f>'Приложение 6'!K246</f>
        <v>20</v>
      </c>
      <c r="K68" s="190">
        <f>'Приложение 6'!L246</f>
        <v>0.2</v>
      </c>
    </row>
    <row r="69" spans="1:11" ht="31.5">
      <c r="A69" s="188" t="s">
        <v>549</v>
      </c>
      <c r="B69" s="189" t="s">
        <v>61</v>
      </c>
      <c r="C69" s="138">
        <v>2</v>
      </c>
      <c r="D69" s="189" t="s">
        <v>282</v>
      </c>
      <c r="E69" s="189" t="s">
        <v>550</v>
      </c>
      <c r="F69" s="174">
        <v>240</v>
      </c>
      <c r="G69" s="136">
        <v>8</v>
      </c>
      <c r="H69" s="136">
        <v>1</v>
      </c>
      <c r="I69" s="190">
        <f>'Приложение 6'!J248</f>
        <v>518.1</v>
      </c>
      <c r="J69" s="190">
        <f>'Приложение 6'!K248</f>
        <v>518.1</v>
      </c>
      <c r="K69" s="190">
        <f>'Приложение 6'!L248</f>
        <v>225.7</v>
      </c>
    </row>
    <row r="70" spans="1:11" ht="31.5">
      <c r="A70" s="188" t="s">
        <v>547</v>
      </c>
      <c r="B70" s="189" t="s">
        <v>61</v>
      </c>
      <c r="C70" s="138">
        <v>2</v>
      </c>
      <c r="D70" s="189" t="s">
        <v>282</v>
      </c>
      <c r="E70" s="189" t="s">
        <v>548</v>
      </c>
      <c r="F70" s="174">
        <v>240</v>
      </c>
      <c r="G70" s="136">
        <v>8</v>
      </c>
      <c r="H70" s="136">
        <v>1</v>
      </c>
      <c r="I70" s="190">
        <f>'Приложение 6'!J250</f>
        <v>2989.3</v>
      </c>
      <c r="J70" s="190">
        <f>'Приложение 6'!K250</f>
        <v>2989.3</v>
      </c>
      <c r="K70" s="190">
        <f>'Приложение 6'!L250</f>
        <v>1302.2</v>
      </c>
    </row>
    <row r="71" spans="1:11" ht="31.5">
      <c r="A71" s="188" t="s">
        <v>94</v>
      </c>
      <c r="B71" s="189" t="s">
        <v>61</v>
      </c>
      <c r="C71" s="138">
        <v>3</v>
      </c>
      <c r="D71" s="189" t="s">
        <v>282</v>
      </c>
      <c r="E71" s="189" t="s">
        <v>362</v>
      </c>
      <c r="F71" s="174" t="s">
        <v>132</v>
      </c>
      <c r="G71" s="136" t="s">
        <v>132</v>
      </c>
      <c r="H71" s="136" t="s">
        <v>132</v>
      </c>
      <c r="I71" s="190">
        <f>SUM(I72:I74)</f>
        <v>920.40000000000009</v>
      </c>
      <c r="J71" s="190">
        <f>SUM(J72:J74)</f>
        <v>920.40000000000009</v>
      </c>
      <c r="K71" s="190">
        <f>SUM(K72:K74)</f>
        <v>828.6</v>
      </c>
    </row>
    <row r="72" spans="1:11" ht="31.5">
      <c r="A72" s="188" t="s">
        <v>426</v>
      </c>
      <c r="B72" s="189" t="s">
        <v>61</v>
      </c>
      <c r="C72" s="138">
        <v>3</v>
      </c>
      <c r="D72" s="189" t="s">
        <v>282</v>
      </c>
      <c r="E72" s="189">
        <v>29020</v>
      </c>
      <c r="F72" s="174">
        <v>350</v>
      </c>
      <c r="G72" s="136">
        <v>8</v>
      </c>
      <c r="H72" s="136">
        <v>4</v>
      </c>
      <c r="I72" s="190">
        <f>'Приложение 6'!J275</f>
        <v>100</v>
      </c>
      <c r="J72" s="190">
        <f>'Приложение 6'!K275</f>
        <v>100</v>
      </c>
      <c r="K72" s="190">
        <f>'Приложение 6'!L275</f>
        <v>100</v>
      </c>
    </row>
    <row r="73" spans="1:11" ht="31.5">
      <c r="A73" s="188" t="s">
        <v>77</v>
      </c>
      <c r="B73" s="189" t="s">
        <v>61</v>
      </c>
      <c r="C73" s="138">
        <v>3</v>
      </c>
      <c r="D73" s="189" t="s">
        <v>282</v>
      </c>
      <c r="E73" s="189">
        <v>29250</v>
      </c>
      <c r="F73" s="174">
        <v>240</v>
      </c>
      <c r="G73" s="136">
        <v>8</v>
      </c>
      <c r="H73" s="136">
        <v>4</v>
      </c>
      <c r="I73" s="190">
        <f>'Приложение 6'!J277</f>
        <v>135.20000000000005</v>
      </c>
      <c r="J73" s="190">
        <f>'Приложение 6'!K277</f>
        <v>135.20000000000005</v>
      </c>
      <c r="K73" s="190">
        <f>'Приложение 6'!L277</f>
        <v>107.4</v>
      </c>
    </row>
    <row r="74" spans="1:11" ht="31.5">
      <c r="A74" s="188" t="s">
        <v>72</v>
      </c>
      <c r="B74" s="189" t="s">
        <v>61</v>
      </c>
      <c r="C74" s="138">
        <v>3</v>
      </c>
      <c r="D74" s="189" t="s">
        <v>282</v>
      </c>
      <c r="E74" s="189">
        <v>29260</v>
      </c>
      <c r="F74" s="174">
        <v>240</v>
      </c>
      <c r="G74" s="136">
        <v>8</v>
      </c>
      <c r="H74" s="136">
        <v>4</v>
      </c>
      <c r="I74" s="190">
        <f>'Приложение 6'!J279</f>
        <v>685.2</v>
      </c>
      <c r="J74" s="190">
        <f>'Приложение 6'!K279</f>
        <v>685.2</v>
      </c>
      <c r="K74" s="190">
        <f>'Приложение 6'!L279</f>
        <v>621.20000000000005</v>
      </c>
    </row>
    <row r="75" spans="1:11" ht="63">
      <c r="A75" s="188" t="s">
        <v>95</v>
      </c>
      <c r="B75" s="189" t="s">
        <v>61</v>
      </c>
      <c r="C75" s="138">
        <v>4</v>
      </c>
      <c r="D75" s="189" t="s">
        <v>282</v>
      </c>
      <c r="E75" s="189" t="s">
        <v>362</v>
      </c>
      <c r="F75" s="174" t="s">
        <v>132</v>
      </c>
      <c r="G75" s="136" t="s">
        <v>132</v>
      </c>
      <c r="H75" s="136" t="s">
        <v>132</v>
      </c>
      <c r="I75" s="190">
        <f>SUM(I76:I78)</f>
        <v>2595</v>
      </c>
      <c r="J75" s="190">
        <f>SUM(J76:J78)</f>
        <v>2595</v>
      </c>
      <c r="K75" s="190">
        <f>SUM(K76:K78)</f>
        <v>1877.3</v>
      </c>
    </row>
    <row r="76" spans="1:11" ht="31.5">
      <c r="A76" s="188" t="s">
        <v>83</v>
      </c>
      <c r="B76" s="189" t="s">
        <v>61</v>
      </c>
      <c r="C76" s="138">
        <v>4</v>
      </c>
      <c r="D76" s="189" t="s">
        <v>282</v>
      </c>
      <c r="E76" s="189">
        <v>29230</v>
      </c>
      <c r="F76" s="174">
        <v>240</v>
      </c>
      <c r="G76" s="136">
        <v>11</v>
      </c>
      <c r="H76" s="136">
        <v>5</v>
      </c>
      <c r="I76" s="190">
        <f>'Приложение 6'!J299</f>
        <v>195</v>
      </c>
      <c r="J76" s="190">
        <f>'Приложение 6'!K299</f>
        <v>195</v>
      </c>
      <c r="K76" s="190">
        <f>'Приложение 6'!L299</f>
        <v>194.5</v>
      </c>
    </row>
    <row r="77" spans="1:11" ht="31.5">
      <c r="A77" s="188" t="s">
        <v>68</v>
      </c>
      <c r="B77" s="189" t="s">
        <v>61</v>
      </c>
      <c r="C77" s="138">
        <v>4</v>
      </c>
      <c r="D77" s="189" t="s">
        <v>282</v>
      </c>
      <c r="E77" s="189">
        <v>29370</v>
      </c>
      <c r="F77" s="174">
        <v>240</v>
      </c>
      <c r="G77" s="136">
        <v>11</v>
      </c>
      <c r="H77" s="136">
        <v>5</v>
      </c>
      <c r="I77" s="190">
        <f>'Приложение 6'!J301</f>
        <v>900</v>
      </c>
      <c r="J77" s="190">
        <f>'Приложение 6'!K301</f>
        <v>900</v>
      </c>
      <c r="K77" s="190">
        <f>'Приложение 6'!L301</f>
        <v>804.8</v>
      </c>
    </row>
    <row r="78" spans="1:11" ht="31.5">
      <c r="A78" s="188" t="s">
        <v>84</v>
      </c>
      <c r="B78" s="189" t="s">
        <v>61</v>
      </c>
      <c r="C78" s="138">
        <v>4</v>
      </c>
      <c r="D78" s="189" t="s">
        <v>282</v>
      </c>
      <c r="E78" s="189">
        <v>29570</v>
      </c>
      <c r="F78" s="174">
        <v>240</v>
      </c>
      <c r="G78" s="136">
        <v>11</v>
      </c>
      <c r="H78" s="136">
        <v>5</v>
      </c>
      <c r="I78" s="190">
        <f>'Приложение 6'!J303</f>
        <v>1500</v>
      </c>
      <c r="J78" s="190">
        <f>'Приложение 6'!K303</f>
        <v>1500</v>
      </c>
      <c r="K78" s="190">
        <f>'Приложение 6'!L303</f>
        <v>878</v>
      </c>
    </row>
    <row r="79" spans="1:11" ht="31.5">
      <c r="A79" s="188" t="s">
        <v>385</v>
      </c>
      <c r="B79" s="189" t="s">
        <v>61</v>
      </c>
      <c r="C79" s="138">
        <v>5</v>
      </c>
      <c r="D79" s="189" t="s">
        <v>282</v>
      </c>
      <c r="E79" s="189" t="s">
        <v>362</v>
      </c>
      <c r="F79" s="174"/>
      <c r="G79" s="136"/>
      <c r="H79" s="136"/>
      <c r="I79" s="190">
        <f>SUM(I80:I80)</f>
        <v>12171.8</v>
      </c>
      <c r="J79" s="190">
        <f>SUM(J80:J80)</f>
        <v>12171.8</v>
      </c>
      <c r="K79" s="190">
        <f>SUM(K80:K80)</f>
        <v>10978.8</v>
      </c>
    </row>
    <row r="80" spans="1:11" ht="31.5">
      <c r="A80" s="188" t="s">
        <v>70</v>
      </c>
      <c r="B80" s="189" t="s">
        <v>61</v>
      </c>
      <c r="C80" s="138">
        <v>5</v>
      </c>
      <c r="D80" s="189" t="s">
        <v>282</v>
      </c>
      <c r="E80" s="189" t="s">
        <v>331</v>
      </c>
      <c r="F80" s="174">
        <v>620</v>
      </c>
      <c r="G80" s="136">
        <v>8</v>
      </c>
      <c r="H80" s="136">
        <v>1</v>
      </c>
      <c r="I80" s="190">
        <f>'Приложение 6'!J253</f>
        <v>12171.8</v>
      </c>
      <c r="J80" s="190">
        <f>'Приложение 6'!K253</f>
        <v>12171.8</v>
      </c>
      <c r="K80" s="190">
        <f>'Приложение 6'!L253</f>
        <v>10978.8</v>
      </c>
    </row>
    <row r="81" spans="1:11" ht="47.25">
      <c r="A81" s="188" t="s">
        <v>122</v>
      </c>
      <c r="B81" s="189" t="s">
        <v>16</v>
      </c>
      <c r="C81" s="138" t="s">
        <v>118</v>
      </c>
      <c r="D81" s="189" t="s">
        <v>282</v>
      </c>
      <c r="E81" s="189" t="s">
        <v>362</v>
      </c>
      <c r="F81" s="174" t="s">
        <v>132</v>
      </c>
      <c r="G81" s="136" t="s">
        <v>132</v>
      </c>
      <c r="H81" s="136" t="s">
        <v>132</v>
      </c>
      <c r="I81" s="190">
        <f>I82+I93+I98</f>
        <v>1351.5</v>
      </c>
      <c r="J81" s="190">
        <f>J82+J93+J98</f>
        <v>1351.5</v>
      </c>
      <c r="K81" s="190">
        <f>K82+K93+K98</f>
        <v>850.2</v>
      </c>
    </row>
    <row r="82" spans="1:11" ht="47.25">
      <c r="A82" s="188" t="s">
        <v>357</v>
      </c>
      <c r="B82" s="189" t="s">
        <v>16</v>
      </c>
      <c r="C82" s="138" t="s">
        <v>116</v>
      </c>
      <c r="D82" s="189" t="s">
        <v>282</v>
      </c>
      <c r="E82" s="189" t="s">
        <v>362</v>
      </c>
      <c r="F82" s="174" t="s">
        <v>132</v>
      </c>
      <c r="G82" s="136" t="s">
        <v>132</v>
      </c>
      <c r="H82" s="136" t="s">
        <v>132</v>
      </c>
      <c r="I82" s="190">
        <f>I83+I85+I87+I89+I91</f>
        <v>754.09999999999991</v>
      </c>
      <c r="J82" s="190">
        <f>J83+J85+J87+J89+J91</f>
        <v>754.09999999999991</v>
      </c>
      <c r="K82" s="190">
        <f>K83+K85+K87+K89+K91</f>
        <v>621.20000000000005</v>
      </c>
    </row>
    <row r="83" spans="1:11" ht="31.5">
      <c r="A83" s="188" t="s">
        <v>386</v>
      </c>
      <c r="B83" s="189" t="s">
        <v>16</v>
      </c>
      <c r="C83" s="138">
        <v>1</v>
      </c>
      <c r="D83" s="189" t="s">
        <v>9</v>
      </c>
      <c r="E83" s="189" t="s">
        <v>362</v>
      </c>
      <c r="F83" s="174"/>
      <c r="G83" s="136"/>
      <c r="H83" s="136"/>
      <c r="I83" s="190">
        <f>I84</f>
        <v>355</v>
      </c>
      <c r="J83" s="190">
        <f>J84</f>
        <v>115</v>
      </c>
      <c r="K83" s="190">
        <f>K84</f>
        <v>37.9</v>
      </c>
    </row>
    <row r="84" spans="1:11" ht="47.25">
      <c r="A84" s="188" t="s">
        <v>115</v>
      </c>
      <c r="B84" s="189" t="s">
        <v>16</v>
      </c>
      <c r="C84" s="138">
        <v>1</v>
      </c>
      <c r="D84" s="189" t="s">
        <v>9</v>
      </c>
      <c r="E84" s="189" t="s">
        <v>299</v>
      </c>
      <c r="F84" s="174">
        <v>240</v>
      </c>
      <c r="G84" s="136">
        <v>1</v>
      </c>
      <c r="H84" s="136">
        <v>13</v>
      </c>
      <c r="I84" s="190">
        <f>'Приложение 6'!J63</f>
        <v>355</v>
      </c>
      <c r="J84" s="190">
        <f>'Приложение 6'!K63</f>
        <v>115</v>
      </c>
      <c r="K84" s="190">
        <f>'Приложение 6'!L63</f>
        <v>37.9</v>
      </c>
    </row>
    <row r="85" spans="1:11" ht="31.5">
      <c r="A85" s="188" t="s">
        <v>387</v>
      </c>
      <c r="B85" s="189" t="s">
        <v>16</v>
      </c>
      <c r="C85" s="138">
        <v>1</v>
      </c>
      <c r="D85" s="189" t="s">
        <v>11</v>
      </c>
      <c r="E85" s="189" t="s">
        <v>362</v>
      </c>
      <c r="F85" s="174"/>
      <c r="G85" s="136"/>
      <c r="H85" s="136"/>
      <c r="I85" s="190">
        <f>I86</f>
        <v>35</v>
      </c>
      <c r="J85" s="190">
        <f>J86</f>
        <v>35</v>
      </c>
      <c r="K85" s="190">
        <f>K86</f>
        <v>35</v>
      </c>
    </row>
    <row r="86" spans="1:11" ht="47.25">
      <c r="A86" s="188" t="s">
        <v>115</v>
      </c>
      <c r="B86" s="189" t="s">
        <v>16</v>
      </c>
      <c r="C86" s="138">
        <v>1</v>
      </c>
      <c r="D86" s="189" t="s">
        <v>11</v>
      </c>
      <c r="E86" s="189" t="s">
        <v>299</v>
      </c>
      <c r="F86" s="174">
        <v>240</v>
      </c>
      <c r="G86" s="136">
        <v>1</v>
      </c>
      <c r="H86" s="136">
        <v>13</v>
      </c>
      <c r="I86" s="190">
        <f>'Приложение 6'!J66</f>
        <v>35</v>
      </c>
      <c r="J86" s="190">
        <f>'Приложение 6'!K66</f>
        <v>35</v>
      </c>
      <c r="K86" s="190">
        <f>'Приложение 6'!L66</f>
        <v>35</v>
      </c>
    </row>
    <row r="87" spans="1:11" ht="31.5">
      <c r="A87" s="188" t="s">
        <v>388</v>
      </c>
      <c r="B87" s="189" t="s">
        <v>16</v>
      </c>
      <c r="C87" s="138">
        <v>1</v>
      </c>
      <c r="D87" s="189" t="s">
        <v>10</v>
      </c>
      <c r="E87" s="189" t="s">
        <v>362</v>
      </c>
      <c r="F87" s="174"/>
      <c r="G87" s="136"/>
      <c r="H87" s="136"/>
      <c r="I87" s="190">
        <f>I88</f>
        <v>277.29999999999995</v>
      </c>
      <c r="J87" s="190">
        <f>J88</f>
        <v>517.29999999999995</v>
      </c>
      <c r="K87" s="190">
        <f>K88</f>
        <v>465.6</v>
      </c>
    </row>
    <row r="88" spans="1:11" ht="47.25">
      <c r="A88" s="188" t="s">
        <v>115</v>
      </c>
      <c r="B88" s="189" t="s">
        <v>16</v>
      </c>
      <c r="C88" s="138">
        <v>1</v>
      </c>
      <c r="D88" s="189" t="s">
        <v>10</v>
      </c>
      <c r="E88" s="189" t="s">
        <v>299</v>
      </c>
      <c r="F88" s="174">
        <v>240</v>
      </c>
      <c r="G88" s="136">
        <v>1</v>
      </c>
      <c r="H88" s="136">
        <v>13</v>
      </c>
      <c r="I88" s="190">
        <f>'Приложение 6'!J69</f>
        <v>277.29999999999995</v>
      </c>
      <c r="J88" s="190">
        <f>'Приложение 6'!K69</f>
        <v>517.29999999999995</v>
      </c>
      <c r="K88" s="190">
        <f>'Приложение 6'!L69</f>
        <v>465.6</v>
      </c>
    </row>
    <row r="89" spans="1:11" ht="31.5">
      <c r="A89" s="188" t="s">
        <v>389</v>
      </c>
      <c r="B89" s="189" t="s">
        <v>16</v>
      </c>
      <c r="C89" s="138">
        <v>1</v>
      </c>
      <c r="D89" s="189" t="s">
        <v>13</v>
      </c>
      <c r="E89" s="189" t="s">
        <v>362</v>
      </c>
      <c r="F89" s="174"/>
      <c r="G89" s="136"/>
      <c r="H89" s="136"/>
      <c r="I89" s="190">
        <f>I90</f>
        <v>46.8</v>
      </c>
      <c r="J89" s="190">
        <f>J90</f>
        <v>46.8</v>
      </c>
      <c r="K89" s="190">
        <f>K90</f>
        <v>43.2</v>
      </c>
    </row>
    <row r="90" spans="1:11" ht="47.25">
      <c r="A90" s="188" t="s">
        <v>115</v>
      </c>
      <c r="B90" s="189" t="s">
        <v>16</v>
      </c>
      <c r="C90" s="138">
        <v>1</v>
      </c>
      <c r="D90" s="189" t="s">
        <v>13</v>
      </c>
      <c r="E90" s="189" t="s">
        <v>299</v>
      </c>
      <c r="F90" s="174">
        <v>240</v>
      </c>
      <c r="G90" s="136">
        <v>1</v>
      </c>
      <c r="H90" s="136">
        <v>13</v>
      </c>
      <c r="I90" s="190">
        <f>'Приложение 6'!J72</f>
        <v>46.8</v>
      </c>
      <c r="J90" s="190">
        <f>'Приложение 6'!K72</f>
        <v>46.8</v>
      </c>
      <c r="K90" s="190">
        <f>'Приложение 6'!L72</f>
        <v>43.2</v>
      </c>
    </row>
    <row r="91" spans="1:11" ht="31.5">
      <c r="A91" s="188" t="s">
        <v>390</v>
      </c>
      <c r="B91" s="189" t="s">
        <v>16</v>
      </c>
      <c r="C91" s="138">
        <v>1</v>
      </c>
      <c r="D91" s="189" t="s">
        <v>61</v>
      </c>
      <c r="E91" s="189" t="s">
        <v>362</v>
      </c>
      <c r="F91" s="174"/>
      <c r="G91" s="136"/>
      <c r="H91" s="136"/>
      <c r="I91" s="190">
        <f>I92</f>
        <v>40</v>
      </c>
      <c r="J91" s="190">
        <f>J92</f>
        <v>40</v>
      </c>
      <c r="K91" s="190">
        <f>K92</f>
        <v>39.5</v>
      </c>
    </row>
    <row r="92" spans="1:11" ht="47.25">
      <c r="A92" s="188" t="s">
        <v>115</v>
      </c>
      <c r="B92" s="189" t="s">
        <v>16</v>
      </c>
      <c r="C92" s="138">
        <v>1</v>
      </c>
      <c r="D92" s="189" t="s">
        <v>61</v>
      </c>
      <c r="E92" s="189" t="s">
        <v>299</v>
      </c>
      <c r="F92" s="174">
        <v>240</v>
      </c>
      <c r="G92" s="136">
        <v>1</v>
      </c>
      <c r="H92" s="136">
        <v>13</v>
      </c>
      <c r="I92" s="190">
        <f>'Приложение 6'!J75</f>
        <v>40</v>
      </c>
      <c r="J92" s="190">
        <f>'Приложение 6'!K75</f>
        <v>40</v>
      </c>
      <c r="K92" s="190">
        <f>'Приложение 6'!L75</f>
        <v>39.5</v>
      </c>
    </row>
    <row r="93" spans="1:11" ht="31.5">
      <c r="A93" s="188" t="s">
        <v>391</v>
      </c>
      <c r="B93" s="189" t="s">
        <v>16</v>
      </c>
      <c r="C93" s="189">
        <v>2</v>
      </c>
      <c r="D93" s="189" t="s">
        <v>282</v>
      </c>
      <c r="E93" s="189" t="s">
        <v>362</v>
      </c>
      <c r="F93" s="174" t="s">
        <v>132</v>
      </c>
      <c r="G93" s="136" t="s">
        <v>132</v>
      </c>
      <c r="H93" s="136" t="s">
        <v>132</v>
      </c>
      <c r="I93" s="190">
        <f>I94+I96</f>
        <v>521</v>
      </c>
      <c r="J93" s="190">
        <f>J94+J96</f>
        <v>521</v>
      </c>
      <c r="K93" s="190">
        <f>K94+K96</f>
        <v>228.20000000000002</v>
      </c>
    </row>
    <row r="94" spans="1:11" ht="31.5">
      <c r="A94" s="188" t="s">
        <v>386</v>
      </c>
      <c r="B94" s="189" t="s">
        <v>16</v>
      </c>
      <c r="C94" s="189" t="s">
        <v>290</v>
      </c>
      <c r="D94" s="189" t="s">
        <v>9</v>
      </c>
      <c r="E94" s="189" t="s">
        <v>362</v>
      </c>
      <c r="F94" s="174"/>
      <c r="G94" s="136"/>
      <c r="H94" s="136"/>
      <c r="I94" s="190">
        <f>I95</f>
        <v>301</v>
      </c>
      <c r="J94" s="190">
        <f>J95</f>
        <v>301</v>
      </c>
      <c r="K94" s="190">
        <f>K95</f>
        <v>16.899999999999999</v>
      </c>
    </row>
    <row r="95" spans="1:11" ht="47.25">
      <c r="A95" s="188" t="s">
        <v>115</v>
      </c>
      <c r="B95" s="189" t="s">
        <v>16</v>
      </c>
      <c r="C95" s="189" t="s">
        <v>290</v>
      </c>
      <c r="D95" s="189" t="s">
        <v>9</v>
      </c>
      <c r="E95" s="189" t="s">
        <v>299</v>
      </c>
      <c r="F95" s="174">
        <v>240</v>
      </c>
      <c r="G95" s="136">
        <v>5</v>
      </c>
      <c r="H95" s="136">
        <v>5</v>
      </c>
      <c r="I95" s="190">
        <f>'Приложение 6'!J219</f>
        <v>301</v>
      </c>
      <c r="J95" s="190">
        <f>'Приложение 6'!K219</f>
        <v>301</v>
      </c>
      <c r="K95" s="190">
        <f>'Приложение 6'!L219</f>
        <v>16.899999999999999</v>
      </c>
    </row>
    <row r="96" spans="1:11" ht="31.5">
      <c r="A96" s="188" t="s">
        <v>392</v>
      </c>
      <c r="B96" s="189" t="s">
        <v>16</v>
      </c>
      <c r="C96" s="189" t="s">
        <v>290</v>
      </c>
      <c r="D96" s="189" t="s">
        <v>11</v>
      </c>
      <c r="E96" s="189" t="s">
        <v>362</v>
      </c>
      <c r="F96" s="174"/>
      <c r="G96" s="136"/>
      <c r="H96" s="136"/>
      <c r="I96" s="190">
        <f>I97</f>
        <v>220</v>
      </c>
      <c r="J96" s="190">
        <f>J97</f>
        <v>220</v>
      </c>
      <c r="K96" s="190">
        <f>K97</f>
        <v>211.3</v>
      </c>
    </row>
    <row r="97" spans="1:11" ht="47.25">
      <c r="A97" s="188" t="s">
        <v>115</v>
      </c>
      <c r="B97" s="189" t="s">
        <v>16</v>
      </c>
      <c r="C97" s="189" t="s">
        <v>290</v>
      </c>
      <c r="D97" s="189" t="s">
        <v>11</v>
      </c>
      <c r="E97" s="189" t="s">
        <v>299</v>
      </c>
      <c r="F97" s="174">
        <v>240</v>
      </c>
      <c r="G97" s="136">
        <v>5</v>
      </c>
      <c r="H97" s="136">
        <v>5</v>
      </c>
      <c r="I97" s="190">
        <f>'Приложение 6'!J222</f>
        <v>220</v>
      </c>
      <c r="J97" s="190">
        <f>'Приложение 6'!K222</f>
        <v>220</v>
      </c>
      <c r="K97" s="190">
        <f>'Приложение 6'!L222</f>
        <v>211.3</v>
      </c>
    </row>
    <row r="98" spans="1:11" ht="31.5">
      <c r="A98" s="188" t="s">
        <v>391</v>
      </c>
      <c r="B98" s="189" t="s">
        <v>16</v>
      </c>
      <c r="C98" s="189" t="s">
        <v>120</v>
      </c>
      <c r="D98" s="189" t="s">
        <v>282</v>
      </c>
      <c r="E98" s="189" t="s">
        <v>362</v>
      </c>
      <c r="F98" s="174" t="s">
        <v>132</v>
      </c>
      <c r="G98" s="136" t="s">
        <v>132</v>
      </c>
      <c r="H98" s="136" t="s">
        <v>132</v>
      </c>
      <c r="I98" s="190">
        <f t="shared" ref="I98:K99" si="0">I99</f>
        <v>76.400000000000006</v>
      </c>
      <c r="J98" s="190">
        <f t="shared" si="0"/>
        <v>76.400000000000006</v>
      </c>
      <c r="K98" s="190">
        <f t="shared" si="0"/>
        <v>0.8</v>
      </c>
    </row>
    <row r="99" spans="1:11" ht="31.5">
      <c r="A99" s="188" t="s">
        <v>386</v>
      </c>
      <c r="B99" s="189" t="s">
        <v>16</v>
      </c>
      <c r="C99" s="189" t="s">
        <v>120</v>
      </c>
      <c r="D99" s="189" t="s">
        <v>9</v>
      </c>
      <c r="E99" s="189" t="s">
        <v>362</v>
      </c>
      <c r="F99" s="174"/>
      <c r="G99" s="136"/>
      <c r="H99" s="136"/>
      <c r="I99" s="190">
        <f t="shared" si="0"/>
        <v>76.400000000000006</v>
      </c>
      <c r="J99" s="190">
        <f t="shared" si="0"/>
        <v>76.400000000000006</v>
      </c>
      <c r="K99" s="190">
        <f t="shared" si="0"/>
        <v>0.8</v>
      </c>
    </row>
    <row r="100" spans="1:11" ht="47.25">
      <c r="A100" s="188" t="s">
        <v>115</v>
      </c>
      <c r="B100" s="189" t="s">
        <v>16</v>
      </c>
      <c r="C100" s="189" t="s">
        <v>120</v>
      </c>
      <c r="D100" s="189" t="s">
        <v>9</v>
      </c>
      <c r="E100" s="189" t="s">
        <v>299</v>
      </c>
      <c r="F100" s="174">
        <v>240</v>
      </c>
      <c r="G100" s="136">
        <v>8</v>
      </c>
      <c r="H100" s="136">
        <v>1</v>
      </c>
      <c r="I100" s="190">
        <f>'Приложение 6'!J258</f>
        <v>76.400000000000006</v>
      </c>
      <c r="J100" s="190">
        <f>'Приложение 6'!K258</f>
        <v>76.400000000000006</v>
      </c>
      <c r="K100" s="190">
        <f>'Приложение 6'!L258</f>
        <v>0.8</v>
      </c>
    </row>
    <row r="101" spans="1:11" ht="47.25">
      <c r="A101" s="188" t="s">
        <v>467</v>
      </c>
      <c r="B101" s="189" t="s">
        <v>17</v>
      </c>
      <c r="C101" s="138" t="s">
        <v>118</v>
      </c>
      <c r="D101" s="189" t="s">
        <v>282</v>
      </c>
      <c r="E101" s="189" t="s">
        <v>362</v>
      </c>
      <c r="F101" s="174" t="s">
        <v>132</v>
      </c>
      <c r="G101" s="136" t="s">
        <v>132</v>
      </c>
      <c r="H101" s="136" t="s">
        <v>132</v>
      </c>
      <c r="I101" s="190">
        <f>SUM(I102:I104)</f>
        <v>24.8</v>
      </c>
      <c r="J101" s="190">
        <f>SUM(J102:J104)</f>
        <v>24.8</v>
      </c>
      <c r="K101" s="190">
        <f>SUM(K102:K104)</f>
        <v>20.9</v>
      </c>
    </row>
    <row r="102" spans="1:11" ht="47.25">
      <c r="A102" s="188" t="s">
        <v>119</v>
      </c>
      <c r="B102" s="189" t="s">
        <v>17</v>
      </c>
      <c r="C102" s="138">
        <v>0</v>
      </c>
      <c r="D102" s="189" t="s">
        <v>282</v>
      </c>
      <c r="E102" s="189">
        <v>29010</v>
      </c>
      <c r="F102" s="174">
        <v>240</v>
      </c>
      <c r="G102" s="136">
        <v>1</v>
      </c>
      <c r="H102" s="136">
        <v>13</v>
      </c>
      <c r="I102" s="190">
        <f>'Приложение 6'!J79</f>
        <v>5</v>
      </c>
      <c r="J102" s="190">
        <f>'Приложение 6'!K79</f>
        <v>5</v>
      </c>
      <c r="K102" s="190">
        <f>'Приложение 6'!L79</f>
        <v>5</v>
      </c>
    </row>
    <row r="103" spans="1:11" ht="31.5">
      <c r="A103" s="188" t="s">
        <v>531</v>
      </c>
      <c r="B103" s="189" t="s">
        <v>17</v>
      </c>
      <c r="C103" s="138">
        <v>0</v>
      </c>
      <c r="D103" s="189" t="s">
        <v>282</v>
      </c>
      <c r="E103" s="189">
        <v>29010</v>
      </c>
      <c r="F103" s="174">
        <v>360</v>
      </c>
      <c r="G103" s="136">
        <v>1</v>
      </c>
      <c r="H103" s="136">
        <v>13</v>
      </c>
      <c r="I103" s="190">
        <f>'Приложение 6'!J80</f>
        <v>15.3</v>
      </c>
      <c r="J103" s="190">
        <f>'Приложение 6'!K80</f>
        <v>15.3</v>
      </c>
      <c r="K103" s="190">
        <f>'Приложение 6'!L80</f>
        <v>11.4</v>
      </c>
    </row>
    <row r="104" spans="1:11" ht="31.5">
      <c r="A104" s="188" t="s">
        <v>498</v>
      </c>
      <c r="B104" s="189" t="s">
        <v>17</v>
      </c>
      <c r="C104" s="138">
        <v>0</v>
      </c>
      <c r="D104" s="189" t="s">
        <v>282</v>
      </c>
      <c r="E104" s="189" t="s">
        <v>533</v>
      </c>
      <c r="F104" s="174">
        <v>360</v>
      </c>
      <c r="G104" s="136">
        <v>1</v>
      </c>
      <c r="H104" s="136">
        <v>13</v>
      </c>
      <c r="I104" s="190">
        <f>'Приложение 6'!J82</f>
        <v>4.5</v>
      </c>
      <c r="J104" s="190">
        <f>'Приложение 6'!K82</f>
        <v>4.5</v>
      </c>
      <c r="K104" s="190">
        <f>'Приложение 6'!L82</f>
        <v>4.5</v>
      </c>
    </row>
    <row r="105" spans="1:11" ht="94.5">
      <c r="A105" s="148" t="s">
        <v>422</v>
      </c>
      <c r="B105" s="189" t="s">
        <v>22</v>
      </c>
      <c r="C105" s="138" t="s">
        <v>118</v>
      </c>
      <c r="D105" s="189" t="s">
        <v>282</v>
      </c>
      <c r="E105" s="189" t="s">
        <v>362</v>
      </c>
      <c r="F105" s="174"/>
      <c r="G105" s="136"/>
      <c r="H105" s="136"/>
      <c r="I105" s="190">
        <f>I106</f>
        <v>25</v>
      </c>
      <c r="J105" s="190">
        <f>J106</f>
        <v>25</v>
      </c>
      <c r="K105" s="190">
        <f>K106</f>
        <v>25</v>
      </c>
    </row>
    <row r="106" spans="1:11" ht="31.5">
      <c r="A106" s="148" t="s">
        <v>423</v>
      </c>
      <c r="B106" s="189" t="s">
        <v>22</v>
      </c>
      <c r="C106" s="138">
        <v>0</v>
      </c>
      <c r="D106" s="189" t="s">
        <v>282</v>
      </c>
      <c r="E106" s="189" t="s">
        <v>424</v>
      </c>
      <c r="F106" s="174">
        <v>240</v>
      </c>
      <c r="G106" s="136">
        <v>7</v>
      </c>
      <c r="H106" s="136">
        <v>5</v>
      </c>
      <c r="I106" s="190">
        <f>'Приложение 6'!J233</f>
        <v>25</v>
      </c>
      <c r="J106" s="190">
        <f>'Приложение 6'!K233</f>
        <v>25</v>
      </c>
      <c r="K106" s="190">
        <f>'Приложение 6'!L233</f>
        <v>25</v>
      </c>
    </row>
    <row r="107" spans="1:11" ht="63">
      <c r="A107" s="188" t="s">
        <v>468</v>
      </c>
      <c r="B107" s="189" t="s">
        <v>33</v>
      </c>
      <c r="C107" s="138" t="s">
        <v>118</v>
      </c>
      <c r="D107" s="189" t="s">
        <v>282</v>
      </c>
      <c r="E107" s="189" t="s">
        <v>362</v>
      </c>
      <c r="F107" s="174" t="s">
        <v>132</v>
      </c>
      <c r="G107" s="136" t="s">
        <v>132</v>
      </c>
      <c r="H107" s="136" t="s">
        <v>132</v>
      </c>
      <c r="I107" s="190">
        <f>I108</f>
        <v>550.70000000000005</v>
      </c>
      <c r="J107" s="190">
        <f>J108</f>
        <v>362.4</v>
      </c>
      <c r="K107" s="190">
        <f>K108</f>
        <v>362.4</v>
      </c>
    </row>
    <row r="108" spans="1:11" ht="31.5">
      <c r="A108" s="188" t="s">
        <v>393</v>
      </c>
      <c r="B108" s="189" t="s">
        <v>33</v>
      </c>
      <c r="C108" s="138">
        <v>0</v>
      </c>
      <c r="D108" s="189" t="s">
        <v>9</v>
      </c>
      <c r="E108" s="189" t="s">
        <v>362</v>
      </c>
      <c r="F108" s="174"/>
      <c r="G108" s="136"/>
      <c r="H108" s="136"/>
      <c r="I108" s="190">
        <f>SUM(I109:I110)</f>
        <v>550.70000000000005</v>
      </c>
      <c r="J108" s="190">
        <f>SUM(J109:J110)</f>
        <v>362.4</v>
      </c>
      <c r="K108" s="190">
        <f>SUM(K109:K110)</f>
        <v>362.4</v>
      </c>
    </row>
    <row r="109" spans="1:11" ht="31.5">
      <c r="A109" s="188" t="s">
        <v>336</v>
      </c>
      <c r="B109" s="189" t="s">
        <v>33</v>
      </c>
      <c r="C109" s="138">
        <v>0</v>
      </c>
      <c r="D109" s="189" t="s">
        <v>9</v>
      </c>
      <c r="E109" s="189" t="s">
        <v>337</v>
      </c>
      <c r="F109" s="174">
        <v>240</v>
      </c>
      <c r="G109" s="136">
        <v>1</v>
      </c>
      <c r="H109" s="136">
        <v>13</v>
      </c>
      <c r="I109" s="190">
        <f>'Приложение 6'!J86</f>
        <v>82.4</v>
      </c>
      <c r="J109" s="190">
        <f>'Приложение 6'!K86</f>
        <v>82.4</v>
      </c>
      <c r="K109" s="190">
        <f>'Приложение 6'!L86</f>
        <v>82.4</v>
      </c>
    </row>
    <row r="110" spans="1:11" ht="31.5">
      <c r="A110" s="188" t="s">
        <v>336</v>
      </c>
      <c r="B110" s="189" t="s">
        <v>33</v>
      </c>
      <c r="C110" s="138">
        <v>0</v>
      </c>
      <c r="D110" s="189" t="s">
        <v>9</v>
      </c>
      <c r="E110" s="189" t="s">
        <v>337</v>
      </c>
      <c r="F110" s="174">
        <v>240</v>
      </c>
      <c r="G110" s="136">
        <v>8</v>
      </c>
      <c r="H110" s="136">
        <v>1</v>
      </c>
      <c r="I110" s="190">
        <f>'Приложение 6'!J262</f>
        <v>468.30000000000007</v>
      </c>
      <c r="J110" s="190">
        <f>'Приложение 6'!K262</f>
        <v>280</v>
      </c>
      <c r="K110" s="190">
        <f>'Приложение 6'!L262</f>
        <v>280</v>
      </c>
    </row>
    <row r="111" spans="1:11" ht="63">
      <c r="A111" s="188" t="s">
        <v>463</v>
      </c>
      <c r="B111" s="189" t="s">
        <v>34</v>
      </c>
      <c r="C111" s="138" t="s">
        <v>118</v>
      </c>
      <c r="D111" s="189" t="s">
        <v>282</v>
      </c>
      <c r="E111" s="189" t="s">
        <v>362</v>
      </c>
      <c r="F111" s="174" t="s">
        <v>132</v>
      </c>
      <c r="G111" s="136" t="s">
        <v>132</v>
      </c>
      <c r="H111" s="136" t="s">
        <v>132</v>
      </c>
      <c r="I111" s="190">
        <f>I112</f>
        <v>3099</v>
      </c>
      <c r="J111" s="190">
        <f>J112</f>
        <v>3099</v>
      </c>
      <c r="K111" s="190">
        <f>K112</f>
        <v>2799.7</v>
      </c>
    </row>
    <row r="112" spans="1:11" ht="31.5">
      <c r="A112" s="188" t="s">
        <v>394</v>
      </c>
      <c r="B112" s="189" t="s">
        <v>34</v>
      </c>
      <c r="C112" s="138">
        <v>0</v>
      </c>
      <c r="D112" s="189" t="s">
        <v>9</v>
      </c>
      <c r="E112" s="189" t="s">
        <v>362</v>
      </c>
      <c r="F112" s="174" t="s">
        <v>132</v>
      </c>
      <c r="G112" s="136" t="s">
        <v>132</v>
      </c>
      <c r="H112" s="136" t="s">
        <v>132</v>
      </c>
      <c r="I112" s="190">
        <f>SUM(I113:I114)</f>
        <v>3099</v>
      </c>
      <c r="J112" s="190">
        <f>SUM(J113:J114)</f>
        <v>3099</v>
      </c>
      <c r="K112" s="190">
        <f>SUM(K113:K114)</f>
        <v>2799.7</v>
      </c>
    </row>
    <row r="113" spans="1:11" ht="31.5">
      <c r="A113" s="188" t="s">
        <v>280</v>
      </c>
      <c r="B113" s="189" t="s">
        <v>34</v>
      </c>
      <c r="C113" s="138">
        <v>0</v>
      </c>
      <c r="D113" s="189" t="s">
        <v>9</v>
      </c>
      <c r="E113" s="189">
        <v>26910</v>
      </c>
      <c r="F113" s="174">
        <v>240</v>
      </c>
      <c r="G113" s="136">
        <v>1</v>
      </c>
      <c r="H113" s="136">
        <v>13</v>
      </c>
      <c r="I113" s="190">
        <f>'Приложение 6'!J90</f>
        <v>2099</v>
      </c>
      <c r="J113" s="190">
        <f>'Приложение 6'!K90</f>
        <v>2099</v>
      </c>
      <c r="K113" s="190">
        <f>'Приложение 6'!L90</f>
        <v>2071.6999999999998</v>
      </c>
    </row>
    <row r="114" spans="1:11" ht="31.5">
      <c r="A114" s="188" t="s">
        <v>280</v>
      </c>
      <c r="B114" s="189" t="s">
        <v>34</v>
      </c>
      <c r="C114" s="138">
        <v>0</v>
      </c>
      <c r="D114" s="189" t="s">
        <v>9</v>
      </c>
      <c r="E114" s="189">
        <v>26910</v>
      </c>
      <c r="F114" s="174">
        <v>240</v>
      </c>
      <c r="G114" s="136">
        <v>12</v>
      </c>
      <c r="H114" s="136">
        <v>2</v>
      </c>
      <c r="I114" s="190">
        <f>'Приложение 6'!J309</f>
        <v>1000</v>
      </c>
      <c r="J114" s="190">
        <f>'Приложение 6'!K309</f>
        <v>1000</v>
      </c>
      <c r="K114" s="190">
        <f>'Приложение 6'!L309</f>
        <v>728</v>
      </c>
    </row>
    <row r="115" spans="1:11" ht="63">
      <c r="A115" s="188" t="s">
        <v>469</v>
      </c>
      <c r="B115" s="189" t="s">
        <v>113</v>
      </c>
      <c r="C115" s="138" t="s">
        <v>118</v>
      </c>
      <c r="D115" s="189" t="s">
        <v>282</v>
      </c>
      <c r="E115" s="189" t="s">
        <v>362</v>
      </c>
      <c r="F115" s="174"/>
      <c r="G115" s="136"/>
      <c r="H115" s="136"/>
      <c r="I115" s="190">
        <f t="shared" ref="I115:K116" si="1">I116</f>
        <v>20</v>
      </c>
      <c r="J115" s="190">
        <f t="shared" si="1"/>
        <v>20</v>
      </c>
      <c r="K115" s="190">
        <f t="shared" si="1"/>
        <v>20</v>
      </c>
    </row>
    <row r="116" spans="1:11" ht="63">
      <c r="A116" s="148" t="s">
        <v>409</v>
      </c>
      <c r="B116" s="189" t="s">
        <v>113</v>
      </c>
      <c r="C116" s="138">
        <v>0</v>
      </c>
      <c r="D116" s="189" t="s">
        <v>14</v>
      </c>
      <c r="E116" s="189" t="s">
        <v>362</v>
      </c>
      <c r="F116" s="174"/>
      <c r="G116" s="136"/>
      <c r="H116" s="136"/>
      <c r="I116" s="190">
        <f t="shared" si="1"/>
        <v>20</v>
      </c>
      <c r="J116" s="190">
        <f t="shared" si="1"/>
        <v>20</v>
      </c>
      <c r="K116" s="190">
        <f t="shared" si="1"/>
        <v>20</v>
      </c>
    </row>
    <row r="117" spans="1:11" ht="31.5">
      <c r="A117" s="148" t="s">
        <v>410</v>
      </c>
      <c r="B117" s="189" t="s">
        <v>113</v>
      </c>
      <c r="C117" s="138">
        <v>0</v>
      </c>
      <c r="D117" s="189" t="s">
        <v>14</v>
      </c>
      <c r="E117" s="189" t="s">
        <v>411</v>
      </c>
      <c r="F117" s="174">
        <v>240</v>
      </c>
      <c r="G117" s="136">
        <v>1</v>
      </c>
      <c r="H117" s="136">
        <v>13</v>
      </c>
      <c r="I117" s="190">
        <f>'Приложение 6'!J94</f>
        <v>20</v>
      </c>
      <c r="J117" s="190">
        <f>'Приложение 6'!K94</f>
        <v>20</v>
      </c>
      <c r="K117" s="190">
        <f>'Приложение 6'!L94</f>
        <v>20</v>
      </c>
    </row>
    <row r="118" spans="1:11" ht="63">
      <c r="A118" s="148" t="s">
        <v>478</v>
      </c>
      <c r="B118" s="189" t="s">
        <v>371</v>
      </c>
      <c r="C118" s="138">
        <v>0</v>
      </c>
      <c r="D118" s="189" t="s">
        <v>282</v>
      </c>
      <c r="E118" s="189" t="s">
        <v>362</v>
      </c>
      <c r="F118" s="174"/>
      <c r="G118" s="136"/>
      <c r="H118" s="136"/>
      <c r="I118" s="190">
        <f>I119</f>
        <v>1599</v>
      </c>
      <c r="J118" s="190">
        <f t="shared" ref="J118:K120" si="2">J119</f>
        <v>1599</v>
      </c>
      <c r="K118" s="190">
        <f t="shared" si="2"/>
        <v>1527.9</v>
      </c>
    </row>
    <row r="119" spans="1:11" ht="47.25">
      <c r="A119" s="148" t="s">
        <v>486</v>
      </c>
      <c r="B119" s="189" t="s">
        <v>371</v>
      </c>
      <c r="C119" s="138">
        <v>1</v>
      </c>
      <c r="D119" s="189" t="s">
        <v>282</v>
      </c>
      <c r="E119" s="189" t="s">
        <v>362</v>
      </c>
      <c r="F119" s="174"/>
      <c r="G119" s="136"/>
      <c r="H119" s="136"/>
      <c r="I119" s="190">
        <f>I120</f>
        <v>1599</v>
      </c>
      <c r="J119" s="190">
        <f t="shared" si="2"/>
        <v>1599</v>
      </c>
      <c r="K119" s="190">
        <f t="shared" si="2"/>
        <v>1527.9</v>
      </c>
    </row>
    <row r="120" spans="1:11" ht="94.5">
      <c r="A120" s="148" t="s">
        <v>421</v>
      </c>
      <c r="B120" s="189" t="s">
        <v>371</v>
      </c>
      <c r="C120" s="138">
        <v>1</v>
      </c>
      <c r="D120" s="189" t="s">
        <v>480</v>
      </c>
      <c r="E120" s="189" t="s">
        <v>362</v>
      </c>
      <c r="F120" s="174"/>
      <c r="G120" s="136"/>
      <c r="H120" s="136"/>
      <c r="I120" s="190">
        <f>I121</f>
        <v>1599</v>
      </c>
      <c r="J120" s="190">
        <f t="shared" si="2"/>
        <v>1599</v>
      </c>
      <c r="K120" s="190">
        <f t="shared" si="2"/>
        <v>1527.9</v>
      </c>
    </row>
    <row r="121" spans="1:11" ht="94.5">
      <c r="A121" s="148" t="s">
        <v>420</v>
      </c>
      <c r="B121" s="189" t="s">
        <v>371</v>
      </c>
      <c r="C121" s="138">
        <v>1</v>
      </c>
      <c r="D121" s="189" t="s">
        <v>480</v>
      </c>
      <c r="E121" s="189" t="s">
        <v>481</v>
      </c>
      <c r="F121" s="174">
        <v>540</v>
      </c>
      <c r="G121" s="136">
        <v>5</v>
      </c>
      <c r="H121" s="136">
        <v>3</v>
      </c>
      <c r="I121" s="190">
        <f>'Приложение 6'!J207</f>
        <v>1599</v>
      </c>
      <c r="J121" s="190">
        <f>'Приложение 6'!K207</f>
        <v>1599</v>
      </c>
      <c r="K121" s="190">
        <f>'Приложение 6'!L207</f>
        <v>1527.9</v>
      </c>
    </row>
    <row r="122" spans="1:11" ht="15.75">
      <c r="A122" s="191" t="s">
        <v>134</v>
      </c>
      <c r="B122" s="192"/>
      <c r="C122" s="192"/>
      <c r="D122" s="192"/>
      <c r="E122" s="192"/>
      <c r="F122" s="192"/>
      <c r="G122" s="192"/>
      <c r="H122" s="192"/>
      <c r="I122" s="193">
        <f>I10+I17+I24+I50+I52+I62+I81+I101+I105+I107+I111+I115+I118</f>
        <v>141743.70000000001</v>
      </c>
      <c r="J122" s="193">
        <f>J10+J17+J24+J50+J52+J62+J81+J101+J105+J107+J111+J115+J118</f>
        <v>141620.5</v>
      </c>
      <c r="K122" s="193">
        <f>K10+K17+K24+K50+K52+K62+K81+K101+K105+K107+K111+K115+K118</f>
        <v>107500.79999999999</v>
      </c>
    </row>
  </sheetData>
  <mergeCells count="2">
    <mergeCell ref="A7:K7"/>
    <mergeCell ref="B9:E9"/>
  </mergeCells>
  <pageMargins left="0.98425196850393704" right="0.39370078740157483" top="0.59055118110236227" bottom="0.59055118110236227" header="0.31496062992125984" footer="0.31496062992125984"/>
  <pageSetup paperSize="9" scale="90" fitToHeight="11" orientation="landscape" r:id="rId1"/>
  <rowBreaks count="4" manualBreakCount="4">
    <brk id="26" max="16383" man="1"/>
    <brk id="42" max="16383" man="1"/>
    <brk id="58" max="16383" man="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tabSelected="1" view="pageBreakPreview" zoomScaleSheetLayoutView="100" workbookViewId="0">
      <selection activeCell="B14" sqref="B14"/>
    </sheetView>
  </sheetViews>
  <sheetFormatPr defaultRowHeight="12.75"/>
  <cols>
    <col min="1" max="1" width="4" style="15" customWidth="1"/>
    <col min="2" max="2" width="75" style="15" customWidth="1"/>
    <col min="3" max="3" width="4.42578125" style="15" customWidth="1"/>
    <col min="4" max="4" width="4.5703125" style="15" customWidth="1"/>
    <col min="5" max="7" width="3.5703125" style="15" customWidth="1"/>
    <col min="8" max="8" width="6.7109375" style="15" customWidth="1"/>
    <col min="9" max="9" width="5.42578125" style="15" customWidth="1"/>
    <col min="10" max="10" width="20.28515625" style="15" customWidth="1"/>
    <col min="11" max="11" width="15.7109375" style="15" customWidth="1"/>
    <col min="12" max="12" width="12.7109375" style="15" customWidth="1"/>
    <col min="13" max="13" width="15.140625" style="15" customWidth="1"/>
    <col min="14" max="14" width="13.42578125" style="15" customWidth="1"/>
    <col min="15" max="15" width="11.85546875" style="15" customWidth="1"/>
    <col min="16" max="16" width="13" style="15" customWidth="1"/>
    <col min="17" max="17" width="9.42578125" style="15" customWidth="1"/>
    <col min="18" max="18" width="2.42578125" style="15" customWidth="1"/>
    <col min="19" max="247" width="9.140625" style="15" customWidth="1"/>
    <col min="248" max="16384" width="9.140625" style="15"/>
  </cols>
  <sheetData>
    <row r="1" spans="1:19" ht="15.75">
      <c r="A1" s="194"/>
      <c r="B1" s="194"/>
      <c r="C1" s="194"/>
      <c r="D1" s="194"/>
      <c r="E1" s="194"/>
      <c r="F1" s="194"/>
      <c r="G1" s="194"/>
      <c r="H1" s="194"/>
      <c r="I1" s="195"/>
      <c r="J1" s="194"/>
      <c r="K1" s="194"/>
      <c r="L1" s="101" t="s">
        <v>43</v>
      </c>
    </row>
    <row r="2" spans="1:19" ht="15.75">
      <c r="A2" s="194"/>
      <c r="B2" s="194"/>
      <c r="C2" s="194"/>
      <c r="D2" s="194"/>
      <c r="E2" s="194"/>
      <c r="F2" s="194"/>
      <c r="G2" s="194"/>
      <c r="H2" s="194"/>
      <c r="I2" s="194"/>
      <c r="J2" s="194"/>
      <c r="K2" s="194"/>
      <c r="L2" s="101" t="s">
        <v>218</v>
      </c>
    </row>
    <row r="3" spans="1:19" ht="15.75">
      <c r="A3" s="194"/>
      <c r="B3" s="194"/>
      <c r="C3" s="194"/>
      <c r="D3" s="194"/>
      <c r="E3" s="194"/>
      <c r="F3" s="194"/>
      <c r="G3" s="194"/>
      <c r="H3" s="194"/>
      <c r="I3" s="194"/>
      <c r="J3" s="194"/>
      <c r="K3" s="194"/>
      <c r="L3" s="101" t="s">
        <v>432</v>
      </c>
    </row>
    <row r="4" spans="1:19" ht="15.75">
      <c r="A4" s="196"/>
      <c r="B4" s="196"/>
      <c r="C4" s="196"/>
      <c r="D4" s="196"/>
      <c r="E4" s="196"/>
      <c r="F4" s="196"/>
      <c r="G4" s="196"/>
      <c r="H4" s="196"/>
      <c r="I4" s="196"/>
      <c r="J4" s="194"/>
      <c r="K4" s="194"/>
      <c r="L4" s="101" t="s">
        <v>434</v>
      </c>
      <c r="M4" s="16"/>
      <c r="N4" s="16"/>
      <c r="O4" s="16"/>
      <c r="P4" s="16"/>
      <c r="Q4" s="16"/>
      <c r="R4" s="16"/>
    </row>
    <row r="5" spans="1:19" ht="15.75">
      <c r="A5" s="196"/>
      <c r="B5" s="196"/>
      <c r="C5" s="196"/>
      <c r="D5" s="196"/>
      <c r="E5" s="196"/>
      <c r="F5" s="196"/>
      <c r="G5" s="196"/>
      <c r="H5" s="196"/>
      <c r="I5" s="196"/>
      <c r="J5" s="194"/>
      <c r="K5" s="194"/>
      <c r="L5" s="101" t="str">
        <f>'Приложение 1'!D5</f>
        <v>от "09" июня 2021 года №38-153</v>
      </c>
      <c r="M5" s="16"/>
      <c r="N5" s="16"/>
      <c r="O5" s="16"/>
      <c r="P5" s="16"/>
      <c r="Q5" s="16"/>
      <c r="R5" s="16"/>
    </row>
    <row r="6" spans="1:19" ht="15">
      <c r="A6" s="196"/>
      <c r="B6" s="196"/>
      <c r="C6" s="196"/>
      <c r="D6" s="196"/>
      <c r="E6" s="196"/>
      <c r="F6" s="196"/>
      <c r="G6" s="196"/>
      <c r="H6" s="196"/>
      <c r="I6" s="196"/>
      <c r="J6" s="100"/>
      <c r="K6" s="100"/>
      <c r="L6" s="197"/>
      <c r="M6" s="16"/>
      <c r="N6" s="16"/>
      <c r="O6" s="16"/>
      <c r="P6" s="16"/>
      <c r="Q6" s="16"/>
      <c r="R6" s="16"/>
    </row>
    <row r="7" spans="1:19" ht="102.75" customHeight="1">
      <c r="A7" s="261" t="s">
        <v>566</v>
      </c>
      <c r="B7" s="261"/>
      <c r="C7" s="261"/>
      <c r="D7" s="261"/>
      <c r="E7" s="261"/>
      <c r="F7" s="261"/>
      <c r="G7" s="261"/>
      <c r="H7" s="261"/>
      <c r="I7" s="261"/>
      <c r="J7" s="261"/>
      <c r="K7" s="261"/>
      <c r="L7" s="261"/>
      <c r="M7" s="16"/>
      <c r="N7" s="16"/>
      <c r="O7" s="16"/>
      <c r="P7" s="16"/>
      <c r="Q7" s="16"/>
      <c r="R7" s="16"/>
    </row>
    <row r="8" spans="1:19" ht="18.75">
      <c r="A8" s="198"/>
      <c r="B8" s="199"/>
      <c r="C8" s="199"/>
      <c r="D8" s="199"/>
      <c r="E8" s="199"/>
      <c r="F8" s="199"/>
      <c r="G8" s="199"/>
      <c r="H8" s="199"/>
      <c r="I8" s="194"/>
      <c r="J8" s="194"/>
      <c r="K8" s="194"/>
      <c r="L8" s="200" t="s">
        <v>130</v>
      </c>
      <c r="M8" s="16"/>
      <c r="N8" s="16"/>
      <c r="O8" s="16"/>
      <c r="P8" s="16"/>
      <c r="Q8" s="16"/>
      <c r="R8" s="16"/>
    </row>
    <row r="9" spans="1:19" ht="189">
      <c r="A9" s="201" t="s">
        <v>131</v>
      </c>
      <c r="B9" s="44" t="s">
        <v>4</v>
      </c>
      <c r="C9" s="44" t="s">
        <v>245</v>
      </c>
      <c r="D9" s="44" t="s">
        <v>246</v>
      </c>
      <c r="E9" s="260" t="s">
        <v>5</v>
      </c>
      <c r="F9" s="260"/>
      <c r="G9" s="260"/>
      <c r="H9" s="260"/>
      <c r="I9" s="44" t="s">
        <v>528</v>
      </c>
      <c r="J9" s="92" t="s">
        <v>521</v>
      </c>
      <c r="K9" s="92" t="s">
        <v>495</v>
      </c>
      <c r="L9" s="92" t="s">
        <v>223</v>
      </c>
      <c r="M9" s="17"/>
      <c r="N9" s="17"/>
      <c r="O9" s="17"/>
      <c r="P9" s="17"/>
      <c r="Q9" s="17"/>
      <c r="R9" s="18"/>
      <c r="S9" s="19"/>
    </row>
    <row r="10" spans="1:19" ht="47.25">
      <c r="A10" s="202">
        <v>1</v>
      </c>
      <c r="B10" s="203" t="s">
        <v>487</v>
      </c>
      <c r="C10" s="204" t="s">
        <v>132</v>
      </c>
      <c r="D10" s="204" t="s">
        <v>132</v>
      </c>
      <c r="E10" s="205" t="s">
        <v>132</v>
      </c>
      <c r="F10" s="202" t="s">
        <v>132</v>
      </c>
      <c r="G10" s="202"/>
      <c r="H10" s="206" t="s">
        <v>132</v>
      </c>
      <c r="I10" s="207" t="s">
        <v>132</v>
      </c>
      <c r="J10" s="208">
        <f>J11</f>
        <v>605</v>
      </c>
      <c r="K10" s="208">
        <f t="shared" ref="K10:L14" si="0">K11</f>
        <v>605</v>
      </c>
      <c r="L10" s="208">
        <f t="shared" si="0"/>
        <v>571.4</v>
      </c>
      <c r="M10" s="16"/>
      <c r="N10" s="16"/>
      <c r="O10" s="16"/>
      <c r="P10" s="16"/>
      <c r="Q10" s="16"/>
      <c r="R10" s="16"/>
    </row>
    <row r="11" spans="1:19" s="21" customFormat="1" ht="15.75">
      <c r="A11" s="204" t="s">
        <v>132</v>
      </c>
      <c r="B11" s="146" t="s">
        <v>36</v>
      </c>
      <c r="C11" s="143" t="s">
        <v>33</v>
      </c>
      <c r="D11" s="143" t="s">
        <v>10</v>
      </c>
      <c r="E11" s="143"/>
      <c r="F11" s="143"/>
      <c r="G11" s="143"/>
      <c r="H11" s="143"/>
      <c r="I11" s="144"/>
      <c r="J11" s="208">
        <f>J12</f>
        <v>605</v>
      </c>
      <c r="K11" s="208">
        <f t="shared" si="0"/>
        <v>605</v>
      </c>
      <c r="L11" s="208">
        <f t="shared" si="0"/>
        <v>571.4</v>
      </c>
      <c r="M11" s="20"/>
      <c r="N11" s="20"/>
      <c r="O11" s="20"/>
      <c r="P11" s="20"/>
      <c r="Q11" s="20"/>
      <c r="R11" s="20"/>
    </row>
    <row r="12" spans="1:19" ht="15.75">
      <c r="A12" s="204" t="s">
        <v>132</v>
      </c>
      <c r="B12" s="148" t="s">
        <v>79</v>
      </c>
      <c r="C12" s="143" t="s">
        <v>33</v>
      </c>
      <c r="D12" s="143" t="s">
        <v>10</v>
      </c>
      <c r="E12" s="143" t="s">
        <v>78</v>
      </c>
      <c r="F12" s="144"/>
      <c r="G12" s="143"/>
      <c r="H12" s="143"/>
      <c r="I12" s="144"/>
      <c r="J12" s="208">
        <f>J13</f>
        <v>605</v>
      </c>
      <c r="K12" s="208">
        <f t="shared" si="0"/>
        <v>605</v>
      </c>
      <c r="L12" s="208">
        <f t="shared" si="0"/>
        <v>571.4</v>
      </c>
      <c r="M12" s="16"/>
      <c r="N12" s="16"/>
      <c r="O12" s="16"/>
      <c r="P12" s="16"/>
      <c r="Q12" s="16"/>
      <c r="R12" s="16"/>
    </row>
    <row r="13" spans="1:19" ht="15.75">
      <c r="A13" s="204" t="s">
        <v>132</v>
      </c>
      <c r="B13" s="148" t="s">
        <v>80</v>
      </c>
      <c r="C13" s="143" t="s">
        <v>33</v>
      </c>
      <c r="D13" s="143" t="s">
        <v>10</v>
      </c>
      <c r="E13" s="143" t="s">
        <v>78</v>
      </c>
      <c r="F13" s="144">
        <v>3</v>
      </c>
      <c r="G13" s="143"/>
      <c r="H13" s="143"/>
      <c r="I13" s="144"/>
      <c r="J13" s="208">
        <f>J14</f>
        <v>605</v>
      </c>
      <c r="K13" s="208">
        <f t="shared" si="0"/>
        <v>605</v>
      </c>
      <c r="L13" s="208">
        <f t="shared" si="0"/>
        <v>571.4</v>
      </c>
      <c r="M13" s="16"/>
      <c r="N13" s="16"/>
      <c r="O13" s="16"/>
      <c r="P13" s="16"/>
      <c r="Q13" s="16"/>
      <c r="R13" s="16"/>
    </row>
    <row r="14" spans="1:19" ht="31.5">
      <c r="A14" s="204" t="s">
        <v>132</v>
      </c>
      <c r="B14" s="148" t="s">
        <v>81</v>
      </c>
      <c r="C14" s="143" t="s">
        <v>33</v>
      </c>
      <c r="D14" s="143" t="s">
        <v>10</v>
      </c>
      <c r="E14" s="143" t="s">
        <v>78</v>
      </c>
      <c r="F14" s="144">
        <v>3</v>
      </c>
      <c r="G14" s="143" t="s">
        <v>282</v>
      </c>
      <c r="H14" s="143" t="s">
        <v>342</v>
      </c>
      <c r="I14" s="144"/>
      <c r="J14" s="208">
        <f>J15</f>
        <v>605</v>
      </c>
      <c r="K14" s="208">
        <f t="shared" si="0"/>
        <v>605</v>
      </c>
      <c r="L14" s="208">
        <f t="shared" si="0"/>
        <v>571.4</v>
      </c>
      <c r="M14" s="16"/>
      <c r="N14" s="16"/>
      <c r="O14" s="16"/>
      <c r="P14" s="16"/>
      <c r="Q14" s="16"/>
      <c r="R14" s="16"/>
    </row>
    <row r="15" spans="1:19" s="34" customFormat="1" ht="31.5">
      <c r="A15" s="204" t="s">
        <v>132</v>
      </c>
      <c r="B15" s="148" t="s">
        <v>415</v>
      </c>
      <c r="C15" s="143" t="s">
        <v>33</v>
      </c>
      <c r="D15" s="143" t="s">
        <v>10</v>
      </c>
      <c r="E15" s="143" t="s">
        <v>78</v>
      </c>
      <c r="F15" s="144">
        <v>3</v>
      </c>
      <c r="G15" s="143" t="s">
        <v>282</v>
      </c>
      <c r="H15" s="143" t="s">
        <v>342</v>
      </c>
      <c r="I15" s="144">
        <v>810</v>
      </c>
      <c r="J15" s="208">
        <f>'Приложение 6'!J289</f>
        <v>605</v>
      </c>
      <c r="K15" s="208">
        <f>'Приложение 6'!K289</f>
        <v>605</v>
      </c>
      <c r="L15" s="208">
        <f>'Приложение 6'!L289</f>
        <v>571.4</v>
      </c>
      <c r="M15" s="33"/>
      <c r="N15" s="33"/>
      <c r="O15" s="33"/>
      <c r="P15" s="33"/>
      <c r="Q15" s="33"/>
      <c r="R15" s="33"/>
    </row>
    <row r="16" spans="1:19" ht="47.25">
      <c r="A16" s="202">
        <v>2</v>
      </c>
      <c r="B16" s="203" t="s">
        <v>133</v>
      </c>
      <c r="C16" s="204" t="s">
        <v>132</v>
      </c>
      <c r="D16" s="204" t="s">
        <v>132</v>
      </c>
      <c r="E16" s="205" t="s">
        <v>132</v>
      </c>
      <c r="F16" s="202" t="s">
        <v>132</v>
      </c>
      <c r="G16" s="202"/>
      <c r="H16" s="206" t="s">
        <v>132</v>
      </c>
      <c r="I16" s="207" t="s">
        <v>132</v>
      </c>
      <c r="J16" s="208">
        <f>J17</f>
        <v>60</v>
      </c>
      <c r="K16" s="208">
        <f t="shared" ref="K16:L20" si="1">K17</f>
        <v>60</v>
      </c>
      <c r="L16" s="208">
        <f t="shared" si="1"/>
        <v>45</v>
      </c>
      <c r="M16" s="16"/>
      <c r="N16" s="16"/>
      <c r="O16" s="16"/>
      <c r="P16" s="16"/>
      <c r="Q16" s="16"/>
      <c r="R16" s="16"/>
    </row>
    <row r="17" spans="1:18" ht="15.75">
      <c r="A17" s="204" t="s">
        <v>132</v>
      </c>
      <c r="B17" s="146" t="s">
        <v>36</v>
      </c>
      <c r="C17" s="204">
        <v>10</v>
      </c>
      <c r="D17" s="204">
        <v>3</v>
      </c>
      <c r="E17" s="205"/>
      <c r="F17" s="202"/>
      <c r="G17" s="202"/>
      <c r="H17" s="206"/>
      <c r="I17" s="207" t="s">
        <v>132</v>
      </c>
      <c r="J17" s="208">
        <f>J18</f>
        <v>60</v>
      </c>
      <c r="K17" s="208">
        <f t="shared" si="1"/>
        <v>60</v>
      </c>
      <c r="L17" s="208">
        <f t="shared" si="1"/>
        <v>45</v>
      </c>
      <c r="M17" s="16"/>
      <c r="N17" s="16"/>
      <c r="O17" s="16"/>
      <c r="P17" s="16"/>
      <c r="Q17" s="16"/>
      <c r="R17" s="16"/>
    </row>
    <row r="18" spans="1:18" ht="15.75">
      <c r="A18" s="204"/>
      <c r="B18" s="148" t="s">
        <v>54</v>
      </c>
      <c r="C18" s="143" t="s">
        <v>33</v>
      </c>
      <c r="D18" s="143" t="s">
        <v>10</v>
      </c>
      <c r="E18" s="143" t="s">
        <v>42</v>
      </c>
      <c r="F18" s="144"/>
      <c r="G18" s="143"/>
      <c r="H18" s="209"/>
      <c r="I18" s="144"/>
      <c r="J18" s="208">
        <f>J19</f>
        <v>60</v>
      </c>
      <c r="K18" s="208">
        <f t="shared" si="1"/>
        <v>60</v>
      </c>
      <c r="L18" s="208">
        <f t="shared" si="1"/>
        <v>45</v>
      </c>
      <c r="M18" s="16"/>
      <c r="N18" s="16"/>
      <c r="O18" s="16"/>
      <c r="P18" s="16"/>
      <c r="Q18" s="16"/>
      <c r="R18" s="16"/>
    </row>
    <row r="19" spans="1:18" ht="15.75">
      <c r="A19" s="204" t="s">
        <v>132</v>
      </c>
      <c r="B19" s="148" t="s">
        <v>55</v>
      </c>
      <c r="C19" s="143" t="s">
        <v>33</v>
      </c>
      <c r="D19" s="143" t="s">
        <v>10</v>
      </c>
      <c r="E19" s="143" t="s">
        <v>42</v>
      </c>
      <c r="F19" s="144">
        <v>9</v>
      </c>
      <c r="G19" s="143"/>
      <c r="H19" s="209"/>
      <c r="I19" s="144"/>
      <c r="J19" s="208">
        <f>J20</f>
        <v>60</v>
      </c>
      <c r="K19" s="208">
        <f t="shared" si="1"/>
        <v>60</v>
      </c>
      <c r="L19" s="208">
        <f t="shared" si="1"/>
        <v>45</v>
      </c>
      <c r="M19" s="16"/>
      <c r="N19" s="16"/>
      <c r="O19" s="16"/>
      <c r="P19" s="16"/>
      <c r="Q19" s="16"/>
      <c r="R19" s="16"/>
    </row>
    <row r="20" spans="1:18" ht="15.75">
      <c r="A20" s="204" t="s">
        <v>132</v>
      </c>
      <c r="B20" s="148" t="s">
        <v>343</v>
      </c>
      <c r="C20" s="143" t="s">
        <v>33</v>
      </c>
      <c r="D20" s="143" t="s">
        <v>10</v>
      </c>
      <c r="E20" s="143" t="s">
        <v>42</v>
      </c>
      <c r="F20" s="144">
        <v>9</v>
      </c>
      <c r="G20" s="143" t="s">
        <v>282</v>
      </c>
      <c r="H20" s="209" t="s">
        <v>344</v>
      </c>
      <c r="I20" s="144"/>
      <c r="J20" s="208">
        <f>J21</f>
        <v>60</v>
      </c>
      <c r="K20" s="208">
        <f t="shared" si="1"/>
        <v>60</v>
      </c>
      <c r="L20" s="208">
        <f t="shared" si="1"/>
        <v>45</v>
      </c>
      <c r="M20" s="16"/>
      <c r="N20" s="16"/>
      <c r="O20" s="16"/>
      <c r="P20" s="16"/>
      <c r="Q20" s="16"/>
      <c r="R20" s="16"/>
    </row>
    <row r="21" spans="1:18" ht="15.75">
      <c r="A21" s="204" t="s">
        <v>132</v>
      </c>
      <c r="B21" s="148" t="s">
        <v>110</v>
      </c>
      <c r="C21" s="143" t="s">
        <v>33</v>
      </c>
      <c r="D21" s="143" t="s">
        <v>10</v>
      </c>
      <c r="E21" s="143" t="s">
        <v>42</v>
      </c>
      <c r="F21" s="144">
        <v>9</v>
      </c>
      <c r="G21" s="143" t="s">
        <v>282</v>
      </c>
      <c r="H21" s="209" t="s">
        <v>344</v>
      </c>
      <c r="I21" s="144">
        <v>310</v>
      </c>
      <c r="J21" s="208">
        <f>'Приложение 6'!J293</f>
        <v>60</v>
      </c>
      <c r="K21" s="208">
        <f>'Приложение 6'!K293</f>
        <v>60</v>
      </c>
      <c r="L21" s="208">
        <f>'Приложение 6'!L293</f>
        <v>45</v>
      </c>
      <c r="M21" s="16"/>
      <c r="N21" s="16"/>
      <c r="O21" s="16"/>
      <c r="P21" s="16"/>
      <c r="Q21" s="16"/>
      <c r="R21" s="16"/>
    </row>
    <row r="22" spans="1:18" ht="15.75">
      <c r="A22" s="210" t="s">
        <v>132</v>
      </c>
      <c r="B22" s="211" t="s">
        <v>134</v>
      </c>
      <c r="C22" s="204" t="s">
        <v>132</v>
      </c>
      <c r="D22" s="204" t="s">
        <v>132</v>
      </c>
      <c r="E22" s="204" t="s">
        <v>132</v>
      </c>
      <c r="F22" s="202" t="s">
        <v>132</v>
      </c>
      <c r="G22" s="202"/>
      <c r="H22" s="212" t="s">
        <v>132</v>
      </c>
      <c r="I22" s="207" t="s">
        <v>132</v>
      </c>
      <c r="J22" s="213">
        <f>J10+J16</f>
        <v>665</v>
      </c>
      <c r="K22" s="213">
        <f>K10+K16</f>
        <v>665</v>
      </c>
      <c r="L22" s="213">
        <f>L10+L16</f>
        <v>616.4</v>
      </c>
      <c r="M22" s="16"/>
      <c r="N22" s="16"/>
      <c r="O22" s="16"/>
      <c r="P22" s="16"/>
      <c r="Q22" s="16"/>
      <c r="R22" s="16"/>
    </row>
    <row r="23" spans="1:18">
      <c r="A23" s="197"/>
      <c r="B23" s="197"/>
      <c r="C23" s="197"/>
      <c r="D23" s="197"/>
      <c r="E23" s="197"/>
      <c r="F23" s="197"/>
      <c r="G23" s="197"/>
      <c r="H23" s="197"/>
      <c r="I23" s="197"/>
      <c r="J23" s="197"/>
      <c r="K23" s="197"/>
      <c r="L23" s="197"/>
      <c r="M23" s="16"/>
      <c r="N23" s="16"/>
      <c r="O23" s="16"/>
      <c r="P23" s="16"/>
      <c r="Q23" s="16"/>
      <c r="R23" s="16"/>
    </row>
    <row r="24" spans="1:18">
      <c r="A24" s="197"/>
      <c r="B24" s="197"/>
      <c r="C24" s="197"/>
      <c r="D24" s="197"/>
      <c r="E24" s="197"/>
      <c r="F24" s="197"/>
      <c r="G24" s="197"/>
      <c r="H24" s="197"/>
      <c r="I24" s="197"/>
      <c r="J24" s="197"/>
      <c r="K24" s="197"/>
      <c r="L24" s="197"/>
      <c r="M24" s="16"/>
      <c r="N24" s="16"/>
      <c r="O24" s="16"/>
      <c r="P24" s="16"/>
      <c r="Q24" s="16"/>
      <c r="R24" s="16"/>
    </row>
    <row r="25" spans="1:18" ht="15.75">
      <c r="A25" s="214"/>
      <c r="B25" s="197"/>
      <c r="C25" s="197"/>
      <c r="D25" s="197"/>
      <c r="E25" s="197"/>
      <c r="F25" s="197"/>
      <c r="G25" s="197"/>
      <c r="H25" s="197"/>
      <c r="I25" s="197"/>
      <c r="J25" s="215"/>
      <c r="K25" s="215"/>
      <c r="L25" s="197"/>
      <c r="M25" s="16"/>
      <c r="N25" s="16"/>
      <c r="O25" s="16"/>
      <c r="P25" s="16"/>
      <c r="Q25" s="16"/>
      <c r="R25" s="16"/>
    </row>
  </sheetData>
  <mergeCells count="2">
    <mergeCell ref="E9:H9"/>
    <mergeCell ref="A7:L7"/>
  </mergeCells>
  <pageMargins left="0.78740157480314965" right="0.39370078740157483" top="0.39370078740157483" bottom="0.39370078740157483" header="0.19685039370078741" footer="0.19685039370078741"/>
  <pageSetup scale="80" orientation="landscape"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activeCell="D13" sqref="D13"/>
    </sheetView>
  </sheetViews>
  <sheetFormatPr defaultRowHeight="12.75"/>
  <cols>
    <col min="1" max="1" width="3.140625" style="37" customWidth="1"/>
    <col min="2" max="2" width="71.140625" style="37" customWidth="1"/>
    <col min="3" max="4" width="19.140625" style="37" customWidth="1"/>
    <col min="5" max="5" width="13.28515625" style="37" customWidth="1"/>
    <col min="6" max="6" width="6.42578125" style="37" customWidth="1"/>
    <col min="7" max="16384" width="9.140625" style="37"/>
  </cols>
  <sheetData>
    <row r="1" spans="1:5" ht="15.75">
      <c r="B1" s="216"/>
      <c r="C1" s="216"/>
      <c r="D1" s="216"/>
      <c r="E1" s="101" t="s">
        <v>271</v>
      </c>
    </row>
    <row r="2" spans="1:5" ht="15.75">
      <c r="B2" s="216"/>
      <c r="C2" s="216"/>
      <c r="D2" s="216"/>
      <c r="E2" s="101" t="s">
        <v>218</v>
      </c>
    </row>
    <row r="3" spans="1:5" ht="15.75">
      <c r="B3" s="216"/>
      <c r="C3" s="216"/>
      <c r="D3" s="216"/>
      <c r="E3" s="101" t="s">
        <v>432</v>
      </c>
    </row>
    <row r="4" spans="1:5" ht="15.75">
      <c r="B4" s="216"/>
      <c r="C4" s="216"/>
      <c r="D4" s="216"/>
      <c r="E4" s="101" t="s">
        <v>492</v>
      </c>
    </row>
    <row r="5" spans="1:5" ht="15.75">
      <c r="B5" s="216"/>
      <c r="C5" s="216"/>
      <c r="D5" s="216"/>
      <c r="E5" s="101" t="str">
        <f>'Приложение 1'!D5</f>
        <v>от "09" июня 2021 года №38-153</v>
      </c>
    </row>
    <row r="6" spans="1:5" ht="15.75">
      <c r="B6" s="216"/>
      <c r="C6" s="217"/>
      <c r="D6" s="217"/>
      <c r="E6" s="217"/>
    </row>
    <row r="7" spans="1:5" ht="16.899999999999999" customHeight="1">
      <c r="B7" s="216"/>
      <c r="C7" s="216"/>
      <c r="D7" s="216"/>
      <c r="E7" s="216"/>
    </row>
    <row r="8" spans="1:5" ht="45" customHeight="1">
      <c r="B8" s="262" t="s">
        <v>565</v>
      </c>
      <c r="C8" s="262"/>
      <c r="D8" s="262"/>
      <c r="E8" s="262"/>
    </row>
    <row r="9" spans="1:5" ht="12.6" customHeight="1">
      <c r="B9" s="263"/>
      <c r="C9" s="263"/>
      <c r="D9" s="263"/>
      <c r="E9" s="263"/>
    </row>
    <row r="10" spans="1:5" ht="10.9" customHeight="1">
      <c r="B10" s="218"/>
      <c r="C10" s="216"/>
      <c r="D10" s="216"/>
      <c r="E10" s="219" t="s">
        <v>429</v>
      </c>
    </row>
    <row r="11" spans="1:5" ht="195" customHeight="1">
      <c r="A11" s="38"/>
      <c r="B11" s="220" t="s">
        <v>430</v>
      </c>
      <c r="C11" s="92" t="s">
        <v>521</v>
      </c>
      <c r="D11" s="92" t="s">
        <v>495</v>
      </c>
      <c r="E11" s="92" t="s">
        <v>223</v>
      </c>
    </row>
    <row r="12" spans="1:5" ht="15.75">
      <c r="A12" s="40">
        <v>1</v>
      </c>
      <c r="B12" s="221" t="s">
        <v>431</v>
      </c>
      <c r="C12" s="222">
        <v>4063.2</v>
      </c>
      <c r="D12" s="222">
        <f>C12</f>
        <v>4063.2</v>
      </c>
      <c r="E12" s="222">
        <v>4063.2</v>
      </c>
    </row>
    <row r="13" spans="1:5" ht="15.75">
      <c r="A13" s="40">
        <v>2</v>
      </c>
      <c r="B13" s="221" t="s">
        <v>176</v>
      </c>
      <c r="C13" s="222">
        <f>'Приложение 2'!C23*0.549</f>
        <v>31356.7389</v>
      </c>
      <c r="D13" s="222">
        <f>'Приложение 2'!D23*0.549</f>
        <v>31356.7389</v>
      </c>
      <c r="E13" s="222">
        <f>'Приложение 2'!E23*0.549</f>
        <v>34694.439299999998</v>
      </c>
    </row>
    <row r="14" spans="1:5" ht="78.75">
      <c r="A14" s="40">
        <v>3</v>
      </c>
      <c r="B14" s="221" t="s">
        <v>563</v>
      </c>
      <c r="C14" s="222">
        <v>29.4</v>
      </c>
      <c r="D14" s="222">
        <f>C14</f>
        <v>29.4</v>
      </c>
      <c r="E14" s="222">
        <v>0</v>
      </c>
    </row>
    <row r="15" spans="1:5" ht="63">
      <c r="A15" s="40">
        <v>4</v>
      </c>
      <c r="B15" s="221" t="s">
        <v>564</v>
      </c>
      <c r="C15" s="222">
        <v>22</v>
      </c>
      <c r="D15" s="222">
        <f>C15</f>
        <v>22</v>
      </c>
      <c r="E15" s="222">
        <v>0</v>
      </c>
    </row>
    <row r="16" spans="1:5" ht="15.75">
      <c r="A16" s="41"/>
      <c r="B16" s="223" t="s">
        <v>134</v>
      </c>
      <c r="C16" s="222">
        <f>SUM(C12:C15)</f>
        <v>35471.338900000002</v>
      </c>
      <c r="D16" s="222">
        <f>SUM(D12:D15)</f>
        <v>35471.338900000002</v>
      </c>
      <c r="E16" s="222">
        <f>SUM(E12:E15)</f>
        <v>38757.639299999995</v>
      </c>
    </row>
    <row r="17" spans="3:5">
      <c r="C17" s="39"/>
      <c r="D17" s="39"/>
      <c r="E17" s="39"/>
    </row>
    <row r="18" spans="3:5">
      <c r="C18" s="39"/>
      <c r="D18" s="39"/>
      <c r="E18" s="39"/>
    </row>
    <row r="19" spans="3:5">
      <c r="C19" s="39"/>
      <c r="D19" s="39"/>
      <c r="E19" s="39"/>
    </row>
  </sheetData>
  <mergeCells count="2">
    <mergeCell ref="B8:E8"/>
    <mergeCell ref="B9:E9"/>
  </mergeCells>
  <pageMargins left="0.78740157480314965" right="0.19685039370078741" top="0.31496062992125984" bottom="0.31496062992125984" header="0" footer="0"/>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13</vt:i4>
      </vt:variant>
    </vt:vector>
  </HeadingPairs>
  <TitlesOfParts>
    <vt:vector size="24"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11</vt:lpstr>
      <vt:lpstr>'Приложение 4'!Заголовки_для_печати</vt:lpstr>
      <vt:lpstr>'Приложение 8'!Заголовки_для_печати</vt:lpstr>
      <vt:lpstr>'Приложение 1'!Область_печати</vt:lpstr>
      <vt:lpstr>'Приложение 10'!Область_печати</vt:lpstr>
      <vt:lpstr>'Приложение 11'!Область_печати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lpstr>'Приложение 8'!Область_печати</vt:lpstr>
      <vt:lpstr>'Приложение 9'!Область_печати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2021-04-15T13:31:12Z</cp:lastPrinted>
  <dcterms:created xsi:type="dcterms:W3CDTF">2002-06-04T10:05:56Z</dcterms:created>
  <dcterms:modified xsi:type="dcterms:W3CDTF">2022-02-03T09:45:56Z</dcterms:modified>
</cp:coreProperties>
</file>