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E:\Работа\ПЕРЕНОС С ДИСКА\Сайт pervomayskiy-mo.ru\Проекты решений СД\Новая папка (11)\"/>
    </mc:Choice>
  </mc:AlternateContent>
  <bookViews>
    <workbookView xWindow="120" yWindow="180" windowWidth="11625" windowHeight="6225" tabRatio="702" firstSheet="2" activeTab="10"/>
  </bookViews>
  <sheets>
    <sheet name="Приложение 1" sheetId="35" r:id="rId1"/>
    <sheet name="Приложение 2" sheetId="36" r:id="rId2"/>
    <sheet name="Приложение 3" sheetId="32" r:id="rId3"/>
    <sheet name="Приложение 4" sheetId="37" r:id="rId4"/>
    <sheet name="Приложение 5" sheetId="9" r:id="rId5"/>
    <sheet name="Приложение 6" sheetId="2" r:id="rId6"/>
    <sheet name="Приложение 7" sheetId="28" r:id="rId7"/>
    <sheet name="Приложение 8" sheetId="39" r:id="rId8"/>
    <sheet name="Приложение 9" sheetId="29" r:id="rId9"/>
    <sheet name="Приложение 10" sheetId="30" r:id="rId10"/>
    <sheet name="Приложение 11" sheetId="38" r:id="rId11"/>
  </sheets>
  <definedNames>
    <definedName name="_xlnm._FilterDatabase" localSheetId="4" hidden="1">'Приложение 5'!$A$11:$I$268</definedName>
    <definedName name="_xlnm._FilterDatabase" localSheetId="5" hidden="1">'Приложение 6'!$A$9:$J$215</definedName>
    <definedName name="_xlnm.Print_Titles" localSheetId="3">'Приложение 4'!$9:$9</definedName>
    <definedName name="_xlnm.Print_Titles" localSheetId="8">'Приложение 9'!$9:$9</definedName>
    <definedName name="_xlnm.Print_Area" localSheetId="0">'Приложение 1'!$A$1:$D$39</definedName>
    <definedName name="_xlnm.Print_Area" localSheetId="9">'Приложение 10'!$A$1:$D$36</definedName>
    <definedName name="_xlnm.Print_Area" localSheetId="10">'Приложение 11'!$A$1:$D$22</definedName>
    <definedName name="_xlnm.Print_Area" localSheetId="1">'Приложение 2'!$A$1:$D$72</definedName>
    <definedName name="_xlnm.Print_Area" localSheetId="2">'Приложение 3'!$A$1:$D$22</definedName>
    <definedName name="_xlnm.Print_Area" localSheetId="4">'Приложение 5'!$A$1:$J$331</definedName>
    <definedName name="_xlnm.Print_Area" localSheetId="5">'Приложение 6'!$A$1:$K$333</definedName>
    <definedName name="_xlnm.Print_Area" localSheetId="7">'Приложение 8'!$A$1:$D$15</definedName>
    <definedName name="_xlnm.Print_Area" localSheetId="8">'Приложение 9'!$A$1:$K$22</definedName>
  </definedNames>
  <calcPr calcId="162913" fullCalcOnLoad="1"/>
</workbook>
</file>

<file path=xl/calcChain.xml><?xml version="1.0" encoding="utf-8"?>
<calcChain xmlns="http://schemas.openxmlformats.org/spreadsheetml/2006/main">
  <c r="D5" i="38" l="1"/>
  <c r="D5" i="30"/>
  <c r="K15" i="29"/>
  <c r="K14" i="29" s="1"/>
  <c r="K13" i="29" s="1"/>
  <c r="K12" i="29" s="1"/>
  <c r="K11" i="29" s="1"/>
  <c r="K10" i="29" s="1"/>
  <c r="K21" i="29"/>
  <c r="K20" i="29" s="1"/>
  <c r="K19" i="29" s="1"/>
  <c r="K18" i="29" s="1"/>
  <c r="K17" i="29" s="1"/>
  <c r="K16" i="29" s="1"/>
  <c r="J15" i="29"/>
  <c r="K5" i="29"/>
  <c r="D5" i="39"/>
  <c r="J5" i="28"/>
  <c r="K5" i="2"/>
  <c r="J5" i="9"/>
  <c r="E5" i="37"/>
  <c r="D5" i="32"/>
  <c r="D5" i="36"/>
  <c r="D14" i="39"/>
  <c r="C13" i="39"/>
  <c r="C14" i="39"/>
  <c r="J126" i="28"/>
  <c r="J125" i="28" s="1"/>
  <c r="J124" i="28"/>
  <c r="J123" i="28" s="1"/>
  <c r="J122" i="28" s="1"/>
  <c r="J121" i="28"/>
  <c r="I124" i="28"/>
  <c r="I123" i="28" s="1"/>
  <c r="I122" i="28" s="1"/>
  <c r="J118" i="28"/>
  <c r="J117" i="28" s="1"/>
  <c r="J120" i="28"/>
  <c r="J119" i="28"/>
  <c r="J115" i="28"/>
  <c r="J114" i="28" s="1"/>
  <c r="I114" i="28"/>
  <c r="J111" i="28"/>
  <c r="J112" i="28"/>
  <c r="J113" i="28"/>
  <c r="I111" i="28"/>
  <c r="J105" i="28"/>
  <c r="J104" i="28"/>
  <c r="J108" i="28"/>
  <c r="J107" i="28"/>
  <c r="J106" i="28" s="1"/>
  <c r="J83" i="28"/>
  <c r="J82" i="28" s="1"/>
  <c r="J85" i="28"/>
  <c r="J84" i="28"/>
  <c r="J87" i="28"/>
  <c r="J86" i="28"/>
  <c r="J89" i="28"/>
  <c r="J88" i="28" s="1"/>
  <c r="J91" i="28"/>
  <c r="J90" i="28"/>
  <c r="J93" i="28"/>
  <c r="J92" i="28" s="1"/>
  <c r="J96" i="28"/>
  <c r="J95" i="28" s="1"/>
  <c r="J98" i="28"/>
  <c r="J97" i="28"/>
  <c r="J101" i="28"/>
  <c r="J100" i="28"/>
  <c r="J103" i="28"/>
  <c r="J102" i="28" s="1"/>
  <c r="I103" i="28"/>
  <c r="I102" i="28" s="1"/>
  <c r="I96" i="28"/>
  <c r="I95" i="28"/>
  <c r="J63" i="28"/>
  <c r="J64" i="28"/>
  <c r="J66" i="28"/>
  <c r="J67" i="28"/>
  <c r="J68" i="28"/>
  <c r="J70" i="28"/>
  <c r="J71" i="28"/>
  <c r="J72" i="28"/>
  <c r="J74" i="28"/>
  <c r="J75" i="28"/>
  <c r="J76" i="28"/>
  <c r="J78" i="28"/>
  <c r="J79" i="28"/>
  <c r="I78" i="28"/>
  <c r="I76" i="28"/>
  <c r="I75" i="28"/>
  <c r="I74" i="28"/>
  <c r="I72" i="28"/>
  <c r="I68" i="28"/>
  <c r="I66" i="28"/>
  <c r="I64" i="28"/>
  <c r="J58" i="28"/>
  <c r="J57" i="28" s="1"/>
  <c r="J60" i="28"/>
  <c r="J59" i="28" s="1"/>
  <c r="J55" i="28"/>
  <c r="J54" i="28" s="1"/>
  <c r="J28" i="28"/>
  <c r="J29" i="28"/>
  <c r="J27" i="28" s="1"/>
  <c r="J30" i="28"/>
  <c r="J31" i="28"/>
  <c r="J32" i="28"/>
  <c r="J33" i="28"/>
  <c r="J35" i="28"/>
  <c r="J36" i="28"/>
  <c r="J34" i="28" s="1"/>
  <c r="J37" i="28"/>
  <c r="J39" i="28"/>
  <c r="J40" i="28"/>
  <c r="J41" i="28"/>
  <c r="J42" i="28"/>
  <c r="J43" i="28"/>
  <c r="J38" i="28" s="1"/>
  <c r="J44" i="28"/>
  <c r="J45" i="28"/>
  <c r="J46" i="28"/>
  <c r="J47" i="28"/>
  <c r="J48" i="28"/>
  <c r="J50" i="28"/>
  <c r="J51" i="28"/>
  <c r="J52" i="28"/>
  <c r="J53" i="28"/>
  <c r="I53" i="28"/>
  <c r="I52" i="28"/>
  <c r="I51" i="28"/>
  <c r="I49" i="28" s="1"/>
  <c r="I45" i="28"/>
  <c r="I44" i="28"/>
  <c r="I43" i="28"/>
  <c r="I36" i="28"/>
  <c r="I35" i="28"/>
  <c r="I32" i="28"/>
  <c r="I31" i="28"/>
  <c r="J19" i="28"/>
  <c r="J20" i="28"/>
  <c r="J22" i="28"/>
  <c r="J23" i="28"/>
  <c r="J25" i="28"/>
  <c r="J24" i="28" s="1"/>
  <c r="I23" i="28"/>
  <c r="J16" i="28"/>
  <c r="J12" i="28"/>
  <c r="J13" i="28"/>
  <c r="J14" i="28"/>
  <c r="J11" i="28" s="1"/>
  <c r="J10" i="28" s="1"/>
  <c r="D12" i="32"/>
  <c r="D13" i="32"/>
  <c r="D14" i="32"/>
  <c r="D15" i="32"/>
  <c r="D16" i="32"/>
  <c r="D17" i="32"/>
  <c r="D18" i="32"/>
  <c r="D19" i="32"/>
  <c r="D20" i="32"/>
  <c r="D21" i="32"/>
  <c r="C21" i="32"/>
  <c r="C18" i="32"/>
  <c r="C17" i="32"/>
  <c r="J17" i="9"/>
  <c r="J16" i="9"/>
  <c r="J19" i="9"/>
  <c r="J20" i="9"/>
  <c r="J25" i="9"/>
  <c r="J24" i="9" s="1"/>
  <c r="J23" i="9" s="1"/>
  <c r="J22" i="9"/>
  <c r="J29" i="9"/>
  <c r="J28" i="9"/>
  <c r="J27" i="9" s="1"/>
  <c r="J32" i="9"/>
  <c r="J31" i="9" s="1"/>
  <c r="J34" i="9"/>
  <c r="J35" i="9"/>
  <c r="J36" i="9"/>
  <c r="J38" i="9"/>
  <c r="J37" i="9" s="1"/>
  <c r="J42" i="9"/>
  <c r="J41" i="9"/>
  <c r="J44" i="9"/>
  <c r="J43" i="9" s="1"/>
  <c r="J40" i="9" s="1"/>
  <c r="J39" i="9" s="1"/>
  <c r="J46" i="9"/>
  <c r="J45" i="9" s="1"/>
  <c r="J48" i="9"/>
  <c r="J47" i="9"/>
  <c r="J50" i="9"/>
  <c r="J49" i="9" s="1"/>
  <c r="J52" i="9"/>
  <c r="J51" i="9" s="1"/>
  <c r="J54" i="9"/>
  <c r="J53" i="9"/>
  <c r="J59" i="9"/>
  <c r="J58" i="9" s="1"/>
  <c r="J57" i="9" s="1"/>
  <c r="J56" i="9" s="1"/>
  <c r="J55" i="9" s="1"/>
  <c r="J64" i="9"/>
  <c r="J63" i="9" s="1"/>
  <c r="J62" i="9"/>
  <c r="J61" i="9"/>
  <c r="J60" i="9" s="1"/>
  <c r="J69" i="9"/>
  <c r="J68" i="9"/>
  <c r="J71" i="9"/>
  <c r="J70" i="9" s="1"/>
  <c r="J67" i="9" s="1"/>
  <c r="J66" i="9" s="1"/>
  <c r="J73" i="9"/>
  <c r="J72" i="9" s="1"/>
  <c r="J76" i="9"/>
  <c r="J75" i="9"/>
  <c r="J74" i="9" s="1"/>
  <c r="J81" i="9"/>
  <c r="J80" i="9" s="1"/>
  <c r="J79" i="9" s="1"/>
  <c r="J78" i="9" s="1"/>
  <c r="J77" i="9" s="1"/>
  <c r="J65" i="9" s="1"/>
  <c r="J84" i="9"/>
  <c r="J83" i="9"/>
  <c r="J82" i="9" s="1"/>
  <c r="J87" i="9"/>
  <c r="J86" i="9"/>
  <c r="J85" i="9" s="1"/>
  <c r="J90" i="9"/>
  <c r="J89" i="9"/>
  <c r="J88" i="9" s="1"/>
  <c r="J93" i="9"/>
  <c r="J92" i="9" s="1"/>
  <c r="J91" i="9" s="1"/>
  <c r="J96" i="9"/>
  <c r="J95" i="9"/>
  <c r="J94" i="9"/>
  <c r="J100" i="9"/>
  <c r="J99" i="9" s="1"/>
  <c r="J98" i="9" s="1"/>
  <c r="J97" i="9" s="1"/>
  <c r="J104" i="9"/>
  <c r="J103" i="9"/>
  <c r="J102" i="9" s="1"/>
  <c r="J101" i="9"/>
  <c r="J108" i="9"/>
  <c r="J107" i="9" s="1"/>
  <c r="J106" i="9"/>
  <c r="J111" i="9"/>
  <c r="J110" i="9"/>
  <c r="J109" i="9" s="1"/>
  <c r="J115" i="9"/>
  <c r="J114" i="9" s="1"/>
  <c r="J117" i="9"/>
  <c r="J116" i="9" s="1"/>
  <c r="J113" i="9" s="1"/>
  <c r="J112" i="9" s="1"/>
  <c r="J121" i="9"/>
  <c r="J122" i="9"/>
  <c r="J123" i="9"/>
  <c r="J135" i="9"/>
  <c r="J134" i="9"/>
  <c r="J137" i="9"/>
  <c r="J136" i="9" s="1"/>
  <c r="J140" i="9"/>
  <c r="J139" i="9" s="1"/>
  <c r="J142" i="9"/>
  <c r="J141" i="9"/>
  <c r="J146" i="9"/>
  <c r="J145" i="9"/>
  <c r="J144" i="9" s="1"/>
  <c r="J143" i="9" s="1"/>
  <c r="J151" i="9"/>
  <c r="J150" i="9"/>
  <c r="J149" i="9"/>
  <c r="J148" i="9" s="1"/>
  <c r="J147" i="9" s="1"/>
  <c r="J155" i="9"/>
  <c r="J154" i="9" s="1"/>
  <c r="J153" i="9"/>
  <c r="J152" i="9" s="1"/>
  <c r="J161" i="9"/>
  <c r="J160" i="9" s="1"/>
  <c r="J159" i="9" s="1"/>
  <c r="J158" i="9" s="1"/>
  <c r="J163" i="9"/>
  <c r="J162" i="9" s="1"/>
  <c r="J165" i="9"/>
  <c r="J164" i="9"/>
  <c r="J167" i="9"/>
  <c r="J166" i="9"/>
  <c r="J169" i="9"/>
  <c r="J168" i="9" s="1"/>
  <c r="J171" i="9"/>
  <c r="J170" i="9" s="1"/>
  <c r="J176" i="9"/>
  <c r="J175" i="9" s="1"/>
  <c r="J174" i="9" s="1"/>
  <c r="J173" i="9" s="1"/>
  <c r="J172" i="9"/>
  <c r="J180" i="9"/>
  <c r="J179" i="9"/>
  <c r="J178" i="9" s="1"/>
  <c r="J177" i="9" s="1"/>
  <c r="J186" i="9"/>
  <c r="J185" i="9"/>
  <c r="J184" i="9"/>
  <c r="J189" i="9"/>
  <c r="J188" i="9"/>
  <c r="J187" i="9" s="1"/>
  <c r="J193" i="9"/>
  <c r="J192" i="9"/>
  <c r="J191" i="9" s="1"/>
  <c r="J190" i="9" s="1"/>
  <c r="J198" i="9"/>
  <c r="J197" i="9" s="1"/>
  <c r="J196" i="9"/>
  <c r="J195" i="9" s="1"/>
  <c r="J194" i="9" s="1"/>
  <c r="J203" i="9"/>
  <c r="J202" i="9" s="1"/>
  <c r="J205" i="9"/>
  <c r="J204" i="9"/>
  <c r="J207" i="9"/>
  <c r="J206" i="9" s="1"/>
  <c r="J210" i="9"/>
  <c r="J209" i="9" s="1"/>
  <c r="J212" i="9"/>
  <c r="J211" i="9"/>
  <c r="J214" i="9"/>
  <c r="J213" i="9" s="1"/>
  <c r="J216" i="9"/>
  <c r="J215" i="9" s="1"/>
  <c r="J218" i="9"/>
  <c r="J217" i="9"/>
  <c r="J220" i="9"/>
  <c r="J219" i="9"/>
  <c r="J222" i="9"/>
  <c r="J221" i="9" s="1"/>
  <c r="J224" i="9"/>
  <c r="J223" i="9"/>
  <c r="J226" i="9"/>
  <c r="J225" i="9"/>
  <c r="J228" i="9"/>
  <c r="J227" i="9" s="1"/>
  <c r="J233" i="9"/>
  <c r="J232" i="9"/>
  <c r="J231" i="9"/>
  <c r="J230" i="9" s="1"/>
  <c r="J229" i="9"/>
  <c r="J238" i="9"/>
  <c r="J239" i="9"/>
  <c r="J240" i="9"/>
  <c r="J242" i="9"/>
  <c r="J241" i="9" s="1"/>
  <c r="J247" i="9"/>
  <c r="J246" i="9" s="1"/>
  <c r="J245" i="9" s="1"/>
  <c r="J244" i="9"/>
  <c r="J243" i="9" s="1"/>
  <c r="J250" i="9"/>
  <c r="J249" i="9"/>
  <c r="J248" i="9" s="1"/>
  <c r="J255" i="9"/>
  <c r="J254" i="9"/>
  <c r="J253" i="9"/>
  <c r="J252" i="9" s="1"/>
  <c r="J251" i="9" s="1"/>
  <c r="J260" i="9"/>
  <c r="J259" i="9" s="1"/>
  <c r="J262" i="9"/>
  <c r="J261" i="9"/>
  <c r="J268" i="9"/>
  <c r="J269" i="9"/>
  <c r="J270" i="9"/>
  <c r="J273" i="9"/>
  <c r="J272" i="9" s="1"/>
  <c r="J275" i="9"/>
  <c r="J274" i="9" s="1"/>
  <c r="J271" i="9" s="1"/>
  <c r="J280" i="9"/>
  <c r="J279" i="9"/>
  <c r="J283" i="9"/>
  <c r="J282" i="9" s="1"/>
  <c r="J281" i="9" s="1"/>
  <c r="J287" i="9"/>
  <c r="J286" i="9" s="1"/>
  <c r="J285" i="9"/>
  <c r="J284" i="9" s="1"/>
  <c r="J291" i="9"/>
  <c r="J290" i="9"/>
  <c r="J289" i="9" s="1"/>
  <c r="J293" i="9"/>
  <c r="J292" i="9"/>
  <c r="J295" i="9"/>
  <c r="J294" i="9" s="1"/>
  <c r="J300" i="9"/>
  <c r="J299" i="9"/>
  <c r="J298" i="9" s="1"/>
  <c r="J297" i="9" s="1"/>
  <c r="J302" i="9"/>
  <c r="J301" i="9" s="1"/>
  <c r="J304" i="9"/>
  <c r="J303" i="9" s="1"/>
  <c r="J310" i="9"/>
  <c r="J309" i="9"/>
  <c r="J308" i="9"/>
  <c r="J307" i="9" s="1"/>
  <c r="J314" i="9"/>
  <c r="J313" i="9" s="1"/>
  <c r="J312" i="9" s="1"/>
  <c r="J311" i="9" s="1"/>
  <c r="J320" i="9"/>
  <c r="J319" i="9"/>
  <c r="J322" i="9"/>
  <c r="J321" i="9"/>
  <c r="J324" i="9"/>
  <c r="J323" i="9"/>
  <c r="J330" i="9"/>
  <c r="J329" i="9"/>
  <c r="J328" i="9" s="1"/>
  <c r="J327" i="9" s="1"/>
  <c r="J326" i="9" s="1"/>
  <c r="J325" i="9" s="1"/>
  <c r="I324" i="9"/>
  <c r="I323" i="9" s="1"/>
  <c r="I322" i="9"/>
  <c r="I321" i="9" s="1"/>
  <c r="I320" i="9"/>
  <c r="I319" i="9" s="1"/>
  <c r="I318" i="9" s="1"/>
  <c r="I317" i="9" s="1"/>
  <c r="I316" i="9" s="1"/>
  <c r="I310" i="9"/>
  <c r="I309" i="9"/>
  <c r="I308" i="9"/>
  <c r="I307" i="9" s="1"/>
  <c r="I304" i="9"/>
  <c r="I303" i="9" s="1"/>
  <c r="I295" i="9"/>
  <c r="I294" i="9"/>
  <c r="I293" i="9"/>
  <c r="I292" i="9"/>
  <c r="I291" i="9"/>
  <c r="I290" i="9"/>
  <c r="I283" i="9"/>
  <c r="I270" i="9"/>
  <c r="I268" i="9"/>
  <c r="I262" i="9"/>
  <c r="I261" i="9"/>
  <c r="I247" i="9"/>
  <c r="I246" i="9" s="1"/>
  <c r="I245" i="9"/>
  <c r="I242" i="9"/>
  <c r="I241" i="9"/>
  <c r="I240" i="9"/>
  <c r="I226" i="9"/>
  <c r="I225" i="9"/>
  <c r="I220" i="9"/>
  <c r="I219" i="9"/>
  <c r="I218" i="9"/>
  <c r="I217" i="9" s="1"/>
  <c r="I203" i="9"/>
  <c r="I202" i="9"/>
  <c r="I193" i="9"/>
  <c r="I192" i="9" s="1"/>
  <c r="I191" i="9" s="1"/>
  <c r="I190" i="9" s="1"/>
  <c r="I186" i="9"/>
  <c r="I185" i="9"/>
  <c r="I184" i="9" s="1"/>
  <c r="I183" i="9" s="1"/>
  <c r="I182" i="9" s="1"/>
  <c r="I180" i="9"/>
  <c r="I179" i="9" s="1"/>
  <c r="I178" i="9" s="1"/>
  <c r="I177" i="9" s="1"/>
  <c r="I169" i="9"/>
  <c r="I168" i="9"/>
  <c r="I167" i="9"/>
  <c r="I166" i="9" s="1"/>
  <c r="I150" i="9"/>
  <c r="I149" i="9" s="1"/>
  <c r="I148" i="9" s="1"/>
  <c r="I147" i="9" s="1"/>
  <c r="I146" i="9"/>
  <c r="I145" i="9" s="1"/>
  <c r="I144" i="9" s="1"/>
  <c r="I143" i="9" s="1"/>
  <c r="I142" i="9"/>
  <c r="I141" i="9"/>
  <c r="I137" i="9"/>
  <c r="I136" i="9"/>
  <c r="I123" i="9"/>
  <c r="I122" i="9"/>
  <c r="I121" i="9"/>
  <c r="I104" i="9"/>
  <c r="I103" i="9" s="1"/>
  <c r="I102" i="9" s="1"/>
  <c r="I101" i="9" s="1"/>
  <c r="I100" i="9"/>
  <c r="I99" i="9" s="1"/>
  <c r="I98" i="9" s="1"/>
  <c r="I97" i="9" s="1"/>
  <c r="I64" i="9"/>
  <c r="I63" i="9"/>
  <c r="I62" i="9"/>
  <c r="I61" i="9" s="1"/>
  <c r="I60" i="9"/>
  <c r="I59" i="9"/>
  <c r="I58" i="9"/>
  <c r="I57" i="9" s="1"/>
  <c r="I48" i="9"/>
  <c r="I47" i="9"/>
  <c r="I42" i="9"/>
  <c r="I41" i="9"/>
  <c r="I36" i="9"/>
  <c r="I29" i="9"/>
  <c r="I28" i="9" s="1"/>
  <c r="I27" i="9" s="1"/>
  <c r="I25" i="9"/>
  <c r="I24" i="9"/>
  <c r="I23" i="9"/>
  <c r="I22" i="9"/>
  <c r="I19" i="9"/>
  <c r="I282" i="9"/>
  <c r="I281" i="9"/>
  <c r="D16" i="35"/>
  <c r="D17" i="35"/>
  <c r="D18" i="35"/>
  <c r="D19" i="35"/>
  <c r="D20" i="35"/>
  <c r="D21" i="35"/>
  <c r="D22" i="35"/>
  <c r="D24" i="35"/>
  <c r="D23" i="35"/>
  <c r="D28" i="35"/>
  <c r="D29" i="35"/>
  <c r="D30" i="35"/>
  <c r="D31" i="35"/>
  <c r="D32" i="35"/>
  <c r="D33" i="35"/>
  <c r="D34" i="35"/>
  <c r="D35" i="35"/>
  <c r="D37" i="35"/>
  <c r="D38" i="35"/>
  <c r="D39" i="35"/>
  <c r="D21" i="36"/>
  <c r="J174" i="2"/>
  <c r="I60" i="28" s="1"/>
  <c r="I59" i="28" s="1"/>
  <c r="J173" i="2"/>
  <c r="J172" i="2" s="1"/>
  <c r="J171" i="2"/>
  <c r="I58" i="28"/>
  <c r="I57" i="28" s="1"/>
  <c r="J99" i="2"/>
  <c r="K38" i="2"/>
  <c r="J38" i="2"/>
  <c r="J26" i="2"/>
  <c r="I35" i="9"/>
  <c r="K15" i="2"/>
  <c r="K14" i="2" s="1"/>
  <c r="K13" i="2" s="1"/>
  <c r="K19" i="2"/>
  <c r="K18" i="2" s="1"/>
  <c r="K22" i="2"/>
  <c r="K28" i="2"/>
  <c r="K32" i="2"/>
  <c r="K34" i="2"/>
  <c r="K36" i="2"/>
  <c r="K40" i="2"/>
  <c r="K42" i="2"/>
  <c r="K44" i="2"/>
  <c r="K49" i="2"/>
  <c r="K48" i="2"/>
  <c r="K47" i="2" s="1"/>
  <c r="K54" i="2"/>
  <c r="K59" i="2"/>
  <c r="K61" i="2"/>
  <c r="K58" i="2" s="1"/>
  <c r="K63" i="2"/>
  <c r="K66" i="2"/>
  <c r="K65" i="2" s="1"/>
  <c r="K71" i="2"/>
  <c r="K70" i="2"/>
  <c r="K74" i="2"/>
  <c r="K73" i="2"/>
  <c r="K77" i="2"/>
  <c r="K76" i="2" s="1"/>
  <c r="K80" i="2"/>
  <c r="K79" i="2"/>
  <c r="K83" i="2"/>
  <c r="K86" i="2"/>
  <c r="K85" i="2"/>
  <c r="K90" i="2"/>
  <c r="K89" i="2" s="1"/>
  <c r="K88" i="2"/>
  <c r="K94" i="2"/>
  <c r="K98" i="2"/>
  <c r="K97" i="2"/>
  <c r="K101" i="2"/>
  <c r="K100" i="2" s="1"/>
  <c r="K105" i="2"/>
  <c r="K104" i="2"/>
  <c r="K103" i="2"/>
  <c r="K113" i="2"/>
  <c r="K119" i="2"/>
  <c r="K121" i="2"/>
  <c r="K124" i="2"/>
  <c r="K126" i="2"/>
  <c r="K130" i="2"/>
  <c r="K129" i="2"/>
  <c r="K128" i="2"/>
  <c r="K135" i="2"/>
  <c r="K134" i="2"/>
  <c r="K139" i="2"/>
  <c r="K138" i="2"/>
  <c r="K147" i="2"/>
  <c r="K149" i="2"/>
  <c r="K151" i="2"/>
  <c r="K153" i="2"/>
  <c r="K155" i="2"/>
  <c r="K160" i="2"/>
  <c r="K164" i="2"/>
  <c r="K170" i="2"/>
  <c r="K173" i="2"/>
  <c r="K172" i="2"/>
  <c r="K177" i="2"/>
  <c r="K176" i="2"/>
  <c r="K175" i="2"/>
  <c r="K182" i="2"/>
  <c r="K181" i="2" s="1"/>
  <c r="K187" i="2"/>
  <c r="K186" i="2" s="1"/>
  <c r="K189" i="2"/>
  <c r="K191" i="2"/>
  <c r="K196" i="2"/>
  <c r="K198" i="2"/>
  <c r="K202" i="2"/>
  <c r="K204" i="2"/>
  <c r="K206" i="2"/>
  <c r="K208" i="2"/>
  <c r="K210" i="2"/>
  <c r="K212" i="2"/>
  <c r="K217" i="2"/>
  <c r="K216" i="2"/>
  <c r="K215" i="2" s="1"/>
  <c r="K226" i="2"/>
  <c r="K231" i="2"/>
  <c r="K230" i="2"/>
  <c r="K229" i="2" s="1"/>
  <c r="K228" i="2" s="1"/>
  <c r="K239" i="2"/>
  <c r="K238" i="2"/>
  <c r="K237" i="2" s="1"/>
  <c r="K246" i="2"/>
  <c r="K252" i="2"/>
  <c r="K251" i="2"/>
  <c r="K257" i="2"/>
  <c r="K256" i="2" s="1"/>
  <c r="K250" i="2" s="1"/>
  <c r="K264" i="2"/>
  <c r="K263" i="2"/>
  <c r="K267" i="2"/>
  <c r="K266" i="2"/>
  <c r="K271" i="2"/>
  <c r="K270" i="2"/>
  <c r="K269" i="2" s="1"/>
  <c r="K275" i="2"/>
  <c r="K279" i="2"/>
  <c r="K274" i="2" s="1"/>
  <c r="K277" i="2"/>
  <c r="K284" i="2"/>
  <c r="K286" i="2"/>
  <c r="K288" i="2"/>
  <c r="K294" i="2"/>
  <c r="K293" i="2"/>
  <c r="K298" i="2"/>
  <c r="K297" i="2"/>
  <c r="K296" i="2"/>
  <c r="K304" i="2"/>
  <c r="K306" i="2"/>
  <c r="K308" i="2"/>
  <c r="K314" i="2"/>
  <c r="K313" i="2"/>
  <c r="K312" i="2" s="1"/>
  <c r="K311" i="2" s="1"/>
  <c r="K321" i="2"/>
  <c r="K329" i="2"/>
  <c r="K331" i="2"/>
  <c r="J332" i="2"/>
  <c r="I117" i="9"/>
  <c r="I116" i="9"/>
  <c r="J330" i="2"/>
  <c r="J329" i="2"/>
  <c r="J325" i="2"/>
  <c r="I20" i="9" s="1"/>
  <c r="J324" i="2"/>
  <c r="J322" i="2"/>
  <c r="J315" i="2"/>
  <c r="J314" i="2"/>
  <c r="J313" i="2" s="1"/>
  <c r="J312" i="2" s="1"/>
  <c r="J311" i="2" s="1"/>
  <c r="D42" i="37" s="1"/>
  <c r="D41" i="37" s="1"/>
  <c r="J308" i="2"/>
  <c r="J306" i="2"/>
  <c r="J304" i="2"/>
  <c r="J299" i="2"/>
  <c r="J21" i="29" s="1"/>
  <c r="J298" i="2"/>
  <c r="J297" i="2" s="1"/>
  <c r="J296" i="2" s="1"/>
  <c r="J291" i="2" s="1"/>
  <c r="J294" i="2"/>
  <c r="J293" i="2"/>
  <c r="J292" i="2" s="1"/>
  <c r="J289" i="2"/>
  <c r="J287" i="2"/>
  <c r="I302" i="9" s="1"/>
  <c r="I301" i="9" s="1"/>
  <c r="J285" i="2"/>
  <c r="J277" i="2"/>
  <c r="J279" i="2"/>
  <c r="J275" i="2"/>
  <c r="J272" i="2"/>
  <c r="I108" i="28" s="1"/>
  <c r="I287" i="9"/>
  <c r="I286" i="9"/>
  <c r="I285" i="9" s="1"/>
  <c r="I284" i="9" s="1"/>
  <c r="J267" i="2"/>
  <c r="J266" i="2"/>
  <c r="J265" i="2"/>
  <c r="I280" i="9" s="1"/>
  <c r="I279" i="9" s="1"/>
  <c r="I278" i="9" s="1"/>
  <c r="J264" i="2"/>
  <c r="J263" i="2" s="1"/>
  <c r="J260" i="2"/>
  <c r="I275" i="9" s="1"/>
  <c r="I274" i="9" s="1"/>
  <c r="I271" i="9" s="1"/>
  <c r="I265" i="9" s="1"/>
  <c r="I264" i="9" s="1"/>
  <c r="J258" i="2"/>
  <c r="I273" i="9"/>
  <c r="I272" i="9"/>
  <c r="J254" i="2"/>
  <c r="I269" i="9"/>
  <c r="I267" i="9" s="1"/>
  <c r="J246" i="2"/>
  <c r="J245" i="2"/>
  <c r="I260" i="9"/>
  <c r="I259" i="9"/>
  <c r="J240" i="2"/>
  <c r="I126" i="28" s="1"/>
  <c r="I125" i="28" s="1"/>
  <c r="J235" i="2"/>
  <c r="J232" i="2"/>
  <c r="J231" i="2"/>
  <c r="J230" i="2"/>
  <c r="J226" i="2"/>
  <c r="J224" i="2"/>
  <c r="I239" i="9" s="1"/>
  <c r="J223" i="2"/>
  <c r="I50" i="28"/>
  <c r="J218" i="2"/>
  <c r="C19" i="32" s="1"/>
  <c r="J217" i="2"/>
  <c r="J216" i="2" s="1"/>
  <c r="J215" i="2" s="1"/>
  <c r="J213" i="2"/>
  <c r="I228" i="9" s="1"/>
  <c r="I227" i="9" s="1"/>
  <c r="J211" i="2"/>
  <c r="J209" i="2"/>
  <c r="J208" i="2"/>
  <c r="J207" i="2"/>
  <c r="J204" i="2"/>
  <c r="J202" i="2"/>
  <c r="J201" i="2"/>
  <c r="J200" i="2"/>
  <c r="J199" i="2"/>
  <c r="J197" i="2"/>
  <c r="J195" i="2"/>
  <c r="I39" i="28"/>
  <c r="J192" i="2"/>
  <c r="I207" i="9" s="1"/>
  <c r="J191" i="2"/>
  <c r="J190" i="2"/>
  <c r="J189" i="2"/>
  <c r="J187" i="2"/>
  <c r="J183" i="2"/>
  <c r="J177" i="2"/>
  <c r="J176" i="2"/>
  <c r="J175" i="2" s="1"/>
  <c r="J165" i="2"/>
  <c r="J164" i="2"/>
  <c r="J161" i="2"/>
  <c r="J160" i="2" s="1"/>
  <c r="J159" i="2" s="1"/>
  <c r="J158" i="2" s="1"/>
  <c r="J157" i="2" s="1"/>
  <c r="D24" i="37" s="1"/>
  <c r="J156" i="2"/>
  <c r="J153" i="2"/>
  <c r="J152" i="2"/>
  <c r="J150" i="2"/>
  <c r="I165" i="9" s="1"/>
  <c r="I164" i="9" s="1"/>
  <c r="J148" i="2"/>
  <c r="I29" i="28" s="1"/>
  <c r="J146" i="2"/>
  <c r="J145" i="2"/>
  <c r="J140" i="2"/>
  <c r="I115" i="28" s="1"/>
  <c r="J136" i="2"/>
  <c r="I151" i="9" s="1"/>
  <c r="J130" i="2"/>
  <c r="J129" i="2"/>
  <c r="J128" i="2" s="1"/>
  <c r="J125" i="2"/>
  <c r="J122" i="2"/>
  <c r="I20" i="28" s="1"/>
  <c r="J121" i="2"/>
  <c r="J120" i="2"/>
  <c r="J113" i="2"/>
  <c r="J105" i="2"/>
  <c r="J104" i="2" s="1"/>
  <c r="J103" i="2" s="1"/>
  <c r="J102" i="2"/>
  <c r="I120" i="28" s="1"/>
  <c r="I119" i="28" s="1"/>
  <c r="J101" i="2"/>
  <c r="J100" i="2" s="1"/>
  <c r="J95" i="2"/>
  <c r="I112" i="28"/>
  <c r="I110" i="28" s="1"/>
  <c r="I109" i="28" s="1"/>
  <c r="J91" i="2"/>
  <c r="I105" i="28"/>
  <c r="I104" i="28"/>
  <c r="J87" i="2"/>
  <c r="I96" i="9" s="1"/>
  <c r="I95" i="9" s="1"/>
  <c r="I94" i="9" s="1"/>
  <c r="J84" i="2"/>
  <c r="J83" i="2"/>
  <c r="J81" i="2"/>
  <c r="I89" i="28"/>
  <c r="I88" i="28" s="1"/>
  <c r="J78" i="2"/>
  <c r="I87" i="28" s="1"/>
  <c r="I86" i="28" s="1"/>
  <c r="J77" i="2"/>
  <c r="J76" i="2"/>
  <c r="J75" i="2"/>
  <c r="I85" i="28" s="1"/>
  <c r="I84" i="28" s="1"/>
  <c r="J72" i="2"/>
  <c r="J71" i="2"/>
  <c r="J70" i="2"/>
  <c r="J67" i="2"/>
  <c r="J66" i="2" s="1"/>
  <c r="J65" i="2" s="1"/>
  <c r="J64" i="2"/>
  <c r="I14" i="28"/>
  <c r="J62" i="2"/>
  <c r="J61" i="2"/>
  <c r="J60" i="2"/>
  <c r="I12" i="28" s="1"/>
  <c r="I11" i="28" s="1"/>
  <c r="J55" i="2"/>
  <c r="J54" i="2"/>
  <c r="J49" i="2"/>
  <c r="J48" i="2"/>
  <c r="J47" i="2" s="1"/>
  <c r="J46" i="2" s="1"/>
  <c r="J45" i="2"/>
  <c r="J43" i="2"/>
  <c r="I52" i="9"/>
  <c r="I51" i="9"/>
  <c r="J41" i="2"/>
  <c r="J37" i="2"/>
  <c r="J35" i="2"/>
  <c r="I44" i="9" s="1"/>
  <c r="I43" i="9"/>
  <c r="J33" i="2"/>
  <c r="C13" i="32" s="1"/>
  <c r="J32" i="2"/>
  <c r="J29" i="2"/>
  <c r="I38" i="9" s="1"/>
  <c r="I37" i="9" s="1"/>
  <c r="J27" i="2"/>
  <c r="J25" i="2"/>
  <c r="J23" i="2"/>
  <c r="I32" i="9" s="1"/>
  <c r="I31" i="9" s="1"/>
  <c r="J22" i="2"/>
  <c r="J20" i="2"/>
  <c r="J15" i="2"/>
  <c r="J14" i="2"/>
  <c r="J13" i="2" s="1"/>
  <c r="D71" i="36"/>
  <c r="D70" i="36"/>
  <c r="D69" i="36" s="1"/>
  <c r="C71" i="36"/>
  <c r="C70" i="36"/>
  <c r="C69" i="36" s="1"/>
  <c r="C67" i="36"/>
  <c r="C66" i="36"/>
  <c r="C64" i="36"/>
  <c r="C63" i="36" s="1"/>
  <c r="D43" i="36"/>
  <c r="C43" i="36"/>
  <c r="D45" i="36"/>
  <c r="D38" i="36"/>
  <c r="D41" i="36"/>
  <c r="D40" i="36" s="1"/>
  <c r="D37" i="36" s="1"/>
  <c r="D35" i="36"/>
  <c r="D34" i="36" s="1"/>
  <c r="C35" i="36"/>
  <c r="C34" i="36" s="1"/>
  <c r="D28" i="36"/>
  <c r="D18" i="36"/>
  <c r="D67" i="36"/>
  <c r="D66" i="36"/>
  <c r="D47" i="36" s="1"/>
  <c r="D64" i="36"/>
  <c r="D63" i="36" s="1"/>
  <c r="D53" i="36"/>
  <c r="D52" i="36" s="1"/>
  <c r="D50" i="36"/>
  <c r="D49" i="36" s="1"/>
  <c r="D32" i="36"/>
  <c r="D31" i="36"/>
  <c r="D23" i="36"/>
  <c r="D57" i="36"/>
  <c r="D55" i="36"/>
  <c r="D36" i="35" s="1"/>
  <c r="C57" i="36"/>
  <c r="C55" i="36"/>
  <c r="C38" i="36"/>
  <c r="C37" i="36" s="1"/>
  <c r="C41" i="36"/>
  <c r="C40" i="36" s="1"/>
  <c r="C45" i="36"/>
  <c r="D25" i="35"/>
  <c r="C53" i="36"/>
  <c r="C52" i="36"/>
  <c r="C50" i="36"/>
  <c r="C49" i="36" s="1"/>
  <c r="C48" i="36" s="1"/>
  <c r="C32" i="36"/>
  <c r="C31" i="36" s="1"/>
  <c r="C30" i="36" s="1"/>
  <c r="C11" i="36" s="1"/>
  <c r="C28" i="36"/>
  <c r="C25" i="36" s="1"/>
  <c r="C26" i="36"/>
  <c r="C23" i="36"/>
  <c r="C21" i="36"/>
  <c r="C18" i="36"/>
  <c r="C17" i="36" s="1"/>
  <c r="C13" i="36"/>
  <c r="C12" i="36" s="1"/>
  <c r="D17" i="30"/>
  <c r="D14" i="30" s="1"/>
  <c r="D15" i="30"/>
  <c r="C12" i="32"/>
  <c r="I84" i="9"/>
  <c r="I83" i="9" s="1"/>
  <c r="I82" i="9" s="1"/>
  <c r="I216" i="9"/>
  <c r="I215" i="9"/>
  <c r="I22" i="28"/>
  <c r="I37" i="28"/>
  <c r="I163" i="9"/>
  <c r="I162" i="9" s="1"/>
  <c r="J210" i="2"/>
  <c r="I47" i="28"/>
  <c r="J239" i="2"/>
  <c r="J238" i="2"/>
  <c r="J237" i="2" s="1"/>
  <c r="D32" i="37" s="1"/>
  <c r="I255" i="9"/>
  <c r="I254" i="9" s="1"/>
  <c r="I253" i="9" s="1"/>
  <c r="I252" i="9"/>
  <c r="I251" i="9" s="1"/>
  <c r="I71" i="9"/>
  <c r="I70" i="9"/>
  <c r="I87" i="9"/>
  <c r="I86" i="9"/>
  <c r="I85" i="9"/>
  <c r="I206" i="9"/>
  <c r="J138" i="9"/>
  <c r="I13" i="28"/>
  <c r="I93" i="28"/>
  <c r="I92" i="28" s="1"/>
  <c r="C16" i="32"/>
  <c r="I19" i="28"/>
  <c r="I135" i="9"/>
  <c r="I134" i="9"/>
  <c r="I133" i="9" s="1"/>
  <c r="J135" i="2"/>
  <c r="J134" i="2"/>
  <c r="I25" i="28"/>
  <c r="I24" i="28" s="1"/>
  <c r="J149" i="2"/>
  <c r="I30" i="28"/>
  <c r="J212" i="2"/>
  <c r="J286" i="2"/>
  <c r="I73" i="9"/>
  <c r="I72" i="9" s="1"/>
  <c r="I115" i="9"/>
  <c r="I114" i="9" s="1"/>
  <c r="I113" i="9" s="1"/>
  <c r="I112" i="9" s="1"/>
  <c r="I210" i="9"/>
  <c r="I209" i="9" s="1"/>
  <c r="I238" i="9"/>
  <c r="C14" i="32"/>
  <c r="I42" i="28"/>
  <c r="I46" i="28"/>
  <c r="I67" i="28"/>
  <c r="I65" i="28"/>
  <c r="I107" i="28"/>
  <c r="I106" i="28" s="1"/>
  <c r="I161" i="9"/>
  <c r="I160" i="9" s="1"/>
  <c r="I176" i="9"/>
  <c r="I175" i="9"/>
  <c r="I174" i="9"/>
  <c r="I173" i="9" s="1"/>
  <c r="I172" i="9" s="1"/>
  <c r="I212" i="9"/>
  <c r="I211" i="9" s="1"/>
  <c r="I224" i="9"/>
  <c r="I223" i="9"/>
  <c r="I250" i="9"/>
  <c r="I249" i="9" s="1"/>
  <c r="I248" i="9" s="1"/>
  <c r="I244" i="9"/>
  <c r="I243" i="9"/>
  <c r="I314" i="9"/>
  <c r="I313" i="9"/>
  <c r="I312" i="9"/>
  <c r="I311" i="9"/>
  <c r="I330" i="9"/>
  <c r="I329" i="9" s="1"/>
  <c r="I328" i="9" s="1"/>
  <c r="I327" i="9"/>
  <c r="I326" i="9" s="1"/>
  <c r="I325" i="9"/>
  <c r="J318" i="9"/>
  <c r="J317" i="9" s="1"/>
  <c r="J316" i="9" s="1"/>
  <c r="J315" i="9" s="1"/>
  <c r="J277" i="9"/>
  <c r="J276" i="9" s="1"/>
  <c r="J237" i="9"/>
  <c r="J236" i="9" s="1"/>
  <c r="I28" i="28"/>
  <c r="I63" i="28"/>
  <c r="I62" i="28" s="1"/>
  <c r="I113" i="28"/>
  <c r="J288" i="9"/>
  <c r="I81" i="9"/>
  <c r="I80" i="9"/>
  <c r="I79" i="9"/>
  <c r="I93" i="9"/>
  <c r="I92" i="9"/>
  <c r="I91" i="9" s="1"/>
  <c r="I111" i="9"/>
  <c r="I110" i="9"/>
  <c r="I109" i="9" s="1"/>
  <c r="I189" i="9"/>
  <c r="I188" i="9"/>
  <c r="I187" i="9" s="1"/>
  <c r="I205" i="9"/>
  <c r="I204" i="9" s="1"/>
  <c r="I214" i="9"/>
  <c r="I213" i="9"/>
  <c r="I233" i="9"/>
  <c r="I232" i="9"/>
  <c r="I231" i="9"/>
  <c r="I230" i="9" s="1"/>
  <c r="I229" i="9" s="1"/>
  <c r="J296" i="9"/>
  <c r="J133" i="9"/>
  <c r="J132" i="9" s="1"/>
  <c r="J131" i="9" s="1"/>
  <c r="J130" i="9" s="1"/>
  <c r="J105" i="9"/>
  <c r="I55" i="28"/>
  <c r="I54" i="28"/>
  <c r="I83" i="28"/>
  <c r="I82" i="28"/>
  <c r="I91" i="28"/>
  <c r="I90" i="28" s="1"/>
  <c r="I101" i="28"/>
  <c r="I100" i="28" s="1"/>
  <c r="I99" i="28" s="1"/>
  <c r="J258" i="9"/>
  <c r="J257" i="9"/>
  <c r="J256" i="9"/>
  <c r="J33" i="9"/>
  <c r="J30" i="9"/>
  <c r="I266" i="9"/>
  <c r="J120" i="9"/>
  <c r="J119" i="9"/>
  <c r="J118" i="9" s="1"/>
  <c r="J157" i="9"/>
  <c r="J156" i="9" s="1"/>
  <c r="J94" i="28"/>
  <c r="I73" i="28"/>
  <c r="J116" i="28"/>
  <c r="J110" i="28"/>
  <c r="J109" i="28" s="1"/>
  <c r="I56" i="28"/>
  <c r="J73" i="28"/>
  <c r="J62" i="28"/>
  <c r="J99" i="28"/>
  <c r="J69" i="28"/>
  <c r="J49" i="28"/>
  <c r="J77" i="28"/>
  <c r="J65" i="28"/>
  <c r="J21" i="28"/>
  <c r="J18" i="28"/>
  <c r="I18" i="28"/>
  <c r="I21" i="28"/>
  <c r="I34" i="28"/>
  <c r="I121" i="28"/>
  <c r="J306" i="9"/>
  <c r="J305" i="9" s="1"/>
  <c r="J201" i="9"/>
  <c r="J235" i="9"/>
  <c r="J234" i="9"/>
  <c r="J278" i="9"/>
  <c r="I120" i="9"/>
  <c r="I119" i="9" s="1"/>
  <c r="I118" i="9" s="1"/>
  <c r="I289" i="9"/>
  <c r="I288" i="9"/>
  <c r="I56" i="9"/>
  <c r="I55" i="9"/>
  <c r="I315" i="9"/>
  <c r="I18" i="9"/>
  <c r="I277" i="9"/>
  <c r="I276" i="9"/>
  <c r="I237" i="9"/>
  <c r="I236" i="9"/>
  <c r="I235" i="9" s="1"/>
  <c r="I258" i="9"/>
  <c r="I257" i="9"/>
  <c r="I256" i="9"/>
  <c r="J274" i="2"/>
  <c r="D27" i="35"/>
  <c r="J163" i="2"/>
  <c r="J162" i="2" s="1"/>
  <c r="D25" i="37" s="1"/>
  <c r="K163" i="2"/>
  <c r="K162" i="2" s="1"/>
  <c r="E25" i="37" s="1"/>
  <c r="J19" i="2"/>
  <c r="J18" i="2"/>
  <c r="K118" i="2"/>
  <c r="J34" i="2"/>
  <c r="K96" i="2"/>
  <c r="J126" i="2"/>
  <c r="J139" i="2"/>
  <c r="J138" i="2" s="1"/>
  <c r="J137" i="2" s="1"/>
  <c r="D21" i="37" s="1"/>
  <c r="J323" i="2"/>
  <c r="K169" i="2"/>
  <c r="K168" i="2" s="1"/>
  <c r="K167" i="2" s="1"/>
  <c r="J119" i="2"/>
  <c r="J118" i="2"/>
  <c r="J147" i="2"/>
  <c r="J331" i="2"/>
  <c r="J328" i="2" s="1"/>
  <c r="J327" i="2" s="1"/>
  <c r="J326" i="2"/>
  <c r="K31" i="2"/>
  <c r="K30" i="2" s="1"/>
  <c r="K12" i="2" s="1"/>
  <c r="K323" i="2"/>
  <c r="K320" i="2"/>
  <c r="K319" i="2" s="1"/>
  <c r="K318" i="2" s="1"/>
  <c r="J94" i="2"/>
  <c r="J93" i="2"/>
  <c r="J92" i="2"/>
  <c r="J151" i="2"/>
  <c r="J170" i="2"/>
  <c r="J244" i="2"/>
  <c r="J243" i="2"/>
  <c r="J242" i="2"/>
  <c r="J241" i="2" s="1"/>
  <c r="J288" i="2"/>
  <c r="K180" i="2"/>
  <c r="K179" i="2"/>
  <c r="E28" i="37"/>
  <c r="K292" i="2"/>
  <c r="K291" i="2"/>
  <c r="E38" i="37" s="1"/>
  <c r="K133" i="2"/>
  <c r="K132" i="2" s="1"/>
  <c r="E20" i="37" s="1"/>
  <c r="J112" i="2"/>
  <c r="I129" i="9" s="1"/>
  <c r="K194" i="2"/>
  <c r="J214" i="2"/>
  <c r="E32" i="37"/>
  <c r="K159" i="2"/>
  <c r="K158" i="2" s="1"/>
  <c r="K157" i="2" s="1"/>
  <c r="E24" i="37"/>
  <c r="K82" i="2"/>
  <c r="K69" i="2"/>
  <c r="K68" i="2" s="1"/>
  <c r="K112" i="2"/>
  <c r="K111" i="2" s="1"/>
  <c r="J82" i="2"/>
  <c r="J262" i="2"/>
  <c r="J261" i="2"/>
  <c r="J63" i="2"/>
  <c r="J86" i="2"/>
  <c r="J85" i="2" s="1"/>
  <c r="J222" i="2"/>
  <c r="J221" i="2" s="1"/>
  <c r="J303" i="2"/>
  <c r="J302" i="2"/>
  <c r="J301" i="2" s="1"/>
  <c r="J300" i="2" s="1"/>
  <c r="J342" i="2" s="1"/>
  <c r="K222" i="2"/>
  <c r="K123" i="2"/>
  <c r="K328" i="2"/>
  <c r="K327" i="2"/>
  <c r="K326" i="2"/>
  <c r="K303" i="2"/>
  <c r="K302" i="2" s="1"/>
  <c r="K301" i="2" s="1"/>
  <c r="K300" i="2" s="1"/>
  <c r="K342" i="2" s="1"/>
  <c r="K283" i="2"/>
  <c r="K282" i="2" s="1"/>
  <c r="K281" i="2" s="1"/>
  <c r="E36" i="37" s="1"/>
  <c r="K259" i="2"/>
  <c r="K244" i="2"/>
  <c r="K243" i="2"/>
  <c r="K242" i="2" s="1"/>
  <c r="K241" i="2" s="1"/>
  <c r="K234" i="2"/>
  <c r="K233" i="2"/>
  <c r="K200" i="2"/>
  <c r="K145" i="2"/>
  <c r="K144" i="2" s="1"/>
  <c r="K143" i="2" s="1"/>
  <c r="K142" i="2" s="1"/>
  <c r="K57" i="2"/>
  <c r="K56" i="2" s="1"/>
  <c r="E15" i="37" s="1"/>
  <c r="J15" i="28"/>
  <c r="K262" i="2"/>
  <c r="K137" i="2"/>
  <c r="E21" i="37" s="1"/>
  <c r="K93" i="2"/>
  <c r="K92" i="2" s="1"/>
  <c r="K53" i="2"/>
  <c r="K52" i="2"/>
  <c r="K51" i="2" s="1"/>
  <c r="E14" i="37" s="1"/>
  <c r="K46" i="2"/>
  <c r="E13" i="37" s="1"/>
  <c r="K24" i="2"/>
  <c r="K21" i="2"/>
  <c r="K17" i="2" s="1"/>
  <c r="J53" i="2"/>
  <c r="J52" i="2"/>
  <c r="J51" i="2" s="1"/>
  <c r="D14" i="37" s="1"/>
  <c r="J133" i="2"/>
  <c r="J132" i="2" s="1"/>
  <c r="D20" i="37"/>
  <c r="J194" i="2"/>
  <c r="J42" i="2"/>
  <c r="J186" i="2"/>
  <c r="J252" i="2"/>
  <c r="J251" i="2" s="1"/>
  <c r="J90" i="2"/>
  <c r="J89" i="2" s="1"/>
  <c r="J88" i="2"/>
  <c r="J271" i="2"/>
  <c r="J270" i="2"/>
  <c r="J269" i="2"/>
  <c r="J257" i="2"/>
  <c r="C20" i="36"/>
  <c r="D25" i="36"/>
  <c r="D26" i="36"/>
  <c r="D48" i="36"/>
  <c r="D20" i="36"/>
  <c r="D17" i="36" s="1"/>
  <c r="D11" i="32"/>
  <c r="D22" i="32" s="1"/>
  <c r="K110" i="2"/>
  <c r="E17" i="37" s="1"/>
  <c r="E16" i="37" s="1"/>
  <c r="J129" i="9"/>
  <c r="J128" i="9" s="1"/>
  <c r="J127" i="9"/>
  <c r="J126" i="9"/>
  <c r="J125" i="9" s="1"/>
  <c r="J124" i="9" s="1"/>
  <c r="D13" i="37"/>
  <c r="C11" i="32"/>
  <c r="I128" i="9"/>
  <c r="I127" i="9" s="1"/>
  <c r="I126" i="9" s="1"/>
  <c r="I125" i="9" s="1"/>
  <c r="I124" i="9" s="1"/>
  <c r="E37" i="37"/>
  <c r="D40" i="37"/>
  <c r="D39" i="37"/>
  <c r="J61" i="28"/>
  <c r="I17" i="28"/>
  <c r="I234" i="9"/>
  <c r="K193" i="2"/>
  <c r="K117" i="2"/>
  <c r="K116" i="2" s="1"/>
  <c r="J14" i="29"/>
  <c r="J13" i="29"/>
  <c r="J169" i="2"/>
  <c r="J168" i="2"/>
  <c r="J167" i="2"/>
  <c r="D27" i="37" s="1"/>
  <c r="K273" i="2"/>
  <c r="K249" i="2" s="1"/>
  <c r="J273" i="2"/>
  <c r="J20" i="29"/>
  <c r="K221" i="2"/>
  <c r="K220" i="2"/>
  <c r="K219" i="2" s="1"/>
  <c r="E30" i="37" s="1"/>
  <c r="J220" i="2"/>
  <c r="K261" i="2"/>
  <c r="K214" i="2"/>
  <c r="K109" i="2"/>
  <c r="K335" i="2" s="1"/>
  <c r="K185" i="2"/>
  <c r="J12" i="29"/>
  <c r="J11" i="29" s="1"/>
  <c r="J10" i="29" s="1"/>
  <c r="J19" i="29"/>
  <c r="J18" i="29"/>
  <c r="J17" i="29" s="1"/>
  <c r="J16" i="29" s="1"/>
  <c r="D15" i="35"/>
  <c r="D14" i="35" s="1"/>
  <c r="D13" i="36"/>
  <c r="D12" i="36"/>
  <c r="J22" i="29" l="1"/>
  <c r="J26" i="28"/>
  <c r="K248" i="2"/>
  <c r="K340" i="2" s="1"/>
  <c r="E35" i="37"/>
  <c r="E34" i="37" s="1"/>
  <c r="E19" i="37"/>
  <c r="E18" i="37" s="1"/>
  <c r="K115" i="2"/>
  <c r="K336" i="2" s="1"/>
  <c r="J127" i="28"/>
  <c r="K348" i="2"/>
  <c r="D33" i="37"/>
  <c r="D31" i="37" s="1"/>
  <c r="J236" i="2"/>
  <c r="J339" i="2" s="1"/>
  <c r="K236" i="2"/>
  <c r="K339" i="2" s="1"/>
  <c r="E33" i="37"/>
  <c r="E31" i="37" s="1"/>
  <c r="D17" i="39"/>
  <c r="D18" i="39" s="1"/>
  <c r="K141" i="2"/>
  <c r="K337" i="2" s="1"/>
  <c r="E23" i="37"/>
  <c r="E22" i="37" s="1"/>
  <c r="K11" i="2"/>
  <c r="E12" i="37"/>
  <c r="E27" i="37"/>
  <c r="J290" i="2"/>
  <c r="J341" i="2" s="1"/>
  <c r="D38" i="37"/>
  <c r="D37" i="37" s="1"/>
  <c r="J17" i="28"/>
  <c r="I71" i="28"/>
  <c r="J310" i="2"/>
  <c r="J343" i="2" s="1"/>
  <c r="I16" i="28"/>
  <c r="I15" i="28" s="1"/>
  <c r="I10" i="28" s="1"/>
  <c r="I108" i="9"/>
  <c r="I107" i="9" s="1"/>
  <c r="I106" i="9" s="1"/>
  <c r="I105" i="9" s="1"/>
  <c r="I118" i="28"/>
  <c r="I117" i="28" s="1"/>
  <c r="I116" i="28" s="1"/>
  <c r="J81" i="28"/>
  <c r="J80" i="28" s="1"/>
  <c r="I81" i="28"/>
  <c r="J111" i="2"/>
  <c r="J110" i="2" s="1"/>
  <c r="I69" i="9"/>
  <c r="I68" i="9" s="1"/>
  <c r="I67" i="9" s="1"/>
  <c r="I66" i="9" s="1"/>
  <c r="J124" i="2"/>
  <c r="J123" i="2" s="1"/>
  <c r="J117" i="2" s="1"/>
  <c r="J116" i="2" s="1"/>
  <c r="I140" i="9"/>
  <c r="I139" i="9" s="1"/>
  <c r="I138" i="9" s="1"/>
  <c r="I132" i="9" s="1"/>
  <c r="I131" i="9" s="1"/>
  <c r="I130" i="9" s="1"/>
  <c r="I171" i="9"/>
  <c r="I170" i="9" s="1"/>
  <c r="I159" i="9" s="1"/>
  <c r="I158" i="9" s="1"/>
  <c r="I157" i="9" s="1"/>
  <c r="I156" i="9" s="1"/>
  <c r="I33" i="28"/>
  <c r="I27" i="28" s="1"/>
  <c r="I26" i="28" s="1"/>
  <c r="J155" i="2"/>
  <c r="J144" i="2" s="1"/>
  <c r="J143" i="2" s="1"/>
  <c r="J142" i="2" s="1"/>
  <c r="I98" i="28"/>
  <c r="I97" i="28" s="1"/>
  <c r="I94" i="28" s="1"/>
  <c r="J234" i="2"/>
  <c r="J233" i="2" s="1"/>
  <c r="J229" i="2" s="1"/>
  <c r="J228" i="2" s="1"/>
  <c r="J219" i="2" s="1"/>
  <c r="D30" i="37" s="1"/>
  <c r="E42" i="37"/>
  <c r="E41" i="37" s="1"/>
  <c r="K310" i="2"/>
  <c r="K343" i="2" s="1"/>
  <c r="I306" i="9"/>
  <c r="I305" i="9" s="1"/>
  <c r="K22" i="29"/>
  <c r="K184" i="2"/>
  <c r="E29" i="37" s="1"/>
  <c r="D30" i="36"/>
  <c r="D11" i="36" s="1"/>
  <c r="D10" i="36" s="1"/>
  <c r="I79" i="28"/>
  <c r="I77" i="28" s="1"/>
  <c r="C20" i="32"/>
  <c r="J259" i="2"/>
  <c r="J256" i="2" s="1"/>
  <c r="J250" i="2" s="1"/>
  <c r="J249" i="2" s="1"/>
  <c r="E11" i="37"/>
  <c r="K317" i="2"/>
  <c r="K316" i="2" s="1"/>
  <c r="J59" i="2"/>
  <c r="J58" i="2" s="1"/>
  <c r="J57" i="2" s="1"/>
  <c r="J208" i="9"/>
  <c r="J200" i="9" s="1"/>
  <c r="J199" i="9" s="1"/>
  <c r="J284" i="2"/>
  <c r="J283" i="2" s="1"/>
  <c r="J282" i="2" s="1"/>
  <c r="J281" i="2" s="1"/>
  <c r="D36" i="37" s="1"/>
  <c r="I70" i="28"/>
  <c r="I69" i="28" s="1"/>
  <c r="I61" i="28" s="1"/>
  <c r="I300" i="9"/>
  <c r="I299" i="9" s="1"/>
  <c r="I298" i="9" s="1"/>
  <c r="I297" i="9" s="1"/>
  <c r="I296" i="9" s="1"/>
  <c r="I263" i="9" s="1"/>
  <c r="K290" i="2"/>
  <c r="K341" i="2" s="1"/>
  <c r="I76" i="9"/>
  <c r="I75" i="9" s="1"/>
  <c r="I74" i="9" s="1"/>
  <c r="C47" i="36"/>
  <c r="C10" i="36" s="1"/>
  <c r="I34" i="9"/>
  <c r="I33" i="9" s="1"/>
  <c r="I30" i="9" s="1"/>
  <c r="I26" i="9" s="1"/>
  <c r="J24" i="2"/>
  <c r="E40" i="37"/>
  <c r="E39" i="37" s="1"/>
  <c r="J74" i="2"/>
  <c r="J73" i="2" s="1"/>
  <c r="I90" i="9"/>
  <c r="I89" i="9" s="1"/>
  <c r="I88" i="9" s="1"/>
  <c r="I78" i="9" s="1"/>
  <c r="I77" i="9" s="1"/>
  <c r="J80" i="2"/>
  <c r="J79" i="2" s="1"/>
  <c r="I198" i="9"/>
  <c r="I197" i="9" s="1"/>
  <c r="I196" i="9" s="1"/>
  <c r="I195" i="9" s="1"/>
  <c r="I194" i="9" s="1"/>
  <c r="J182" i="2"/>
  <c r="J181" i="2" s="1"/>
  <c r="J180" i="2" s="1"/>
  <c r="J179" i="2" s="1"/>
  <c r="J98" i="2"/>
  <c r="J97" i="2" s="1"/>
  <c r="J96" i="2" s="1"/>
  <c r="J28" i="2"/>
  <c r="C15" i="32"/>
  <c r="C22" i="32" s="1"/>
  <c r="J36" i="2"/>
  <c r="I46" i="9"/>
  <c r="I45" i="9" s="1"/>
  <c r="I40" i="9" s="1"/>
  <c r="I39" i="9" s="1"/>
  <c r="I201" i="9"/>
  <c r="J26" i="9"/>
  <c r="J21" i="9" s="1"/>
  <c r="I50" i="9"/>
  <c r="I49" i="9" s="1"/>
  <c r="J40" i="2"/>
  <c r="J196" i="2"/>
  <c r="J193" i="2" s="1"/>
  <c r="J185" i="2" s="1"/>
  <c r="J184" i="2" s="1"/>
  <c r="D29" i="37" s="1"/>
  <c r="I40" i="28"/>
  <c r="I38" i="28" s="1"/>
  <c r="J206" i="2"/>
  <c r="I222" i="9"/>
  <c r="I221" i="9" s="1"/>
  <c r="I208" i="9" s="1"/>
  <c r="J56" i="28"/>
  <c r="J267" i="9"/>
  <c r="J266" i="9" s="1"/>
  <c r="J265" i="9" s="1"/>
  <c r="J264" i="9" s="1"/>
  <c r="J263" i="9" s="1"/>
  <c r="J183" i="9"/>
  <c r="J182" i="9" s="1"/>
  <c r="J181" i="9" s="1"/>
  <c r="I48" i="28"/>
  <c r="J44" i="2"/>
  <c r="I54" i="9"/>
  <c r="I53" i="9" s="1"/>
  <c r="J18" i="9"/>
  <c r="J15" i="9" s="1"/>
  <c r="J14" i="9" s="1"/>
  <c r="J13" i="9" s="1"/>
  <c r="J12" i="9" s="1"/>
  <c r="I41" i="28"/>
  <c r="J198" i="2"/>
  <c r="I17" i="9"/>
  <c r="I16" i="9" s="1"/>
  <c r="I15" i="9" s="1"/>
  <c r="I14" i="9" s="1"/>
  <c r="I13" i="9" s="1"/>
  <c r="J321" i="2"/>
  <c r="J320" i="2" s="1"/>
  <c r="J319" i="2" s="1"/>
  <c r="J318" i="2" s="1"/>
  <c r="I155" i="9"/>
  <c r="I154" i="9" s="1"/>
  <c r="I153" i="9" s="1"/>
  <c r="I152" i="9" s="1"/>
  <c r="I21" i="9" l="1"/>
  <c r="J248" i="2"/>
  <c r="J340" i="2" s="1"/>
  <c r="D35" i="37"/>
  <c r="D34" i="37" s="1"/>
  <c r="C18" i="38"/>
  <c r="C17" i="38" s="1"/>
  <c r="C16" i="38" s="1"/>
  <c r="C15" i="38" s="1"/>
  <c r="J346" i="2"/>
  <c r="D18" i="38"/>
  <c r="D17" i="38" s="1"/>
  <c r="D16" i="38" s="1"/>
  <c r="D15" i="38" s="1"/>
  <c r="D24" i="30"/>
  <c r="D23" i="30" s="1"/>
  <c r="D22" i="30" s="1"/>
  <c r="D21" i="30" s="1"/>
  <c r="K346" i="2"/>
  <c r="I65" i="9"/>
  <c r="I12" i="9" s="1"/>
  <c r="I331" i="9" s="1"/>
  <c r="J31" i="2"/>
  <c r="J30" i="2" s="1"/>
  <c r="J21" i="2"/>
  <c r="J17" i="2" s="1"/>
  <c r="J115" i="2"/>
  <c r="J336" i="2" s="1"/>
  <c r="D19" i="37"/>
  <c r="D18" i="37" s="1"/>
  <c r="E26" i="37"/>
  <c r="C17" i="39"/>
  <c r="C18" i="39" s="1"/>
  <c r="J141" i="2"/>
  <c r="J337" i="2" s="1"/>
  <c r="D23" i="37"/>
  <c r="D22" i="37" s="1"/>
  <c r="K334" i="2"/>
  <c r="J69" i="2"/>
  <c r="J68" i="2" s="1"/>
  <c r="J56" i="2" s="1"/>
  <c r="D15" i="37" s="1"/>
  <c r="J331" i="9"/>
  <c r="E10" i="37"/>
  <c r="D11" i="37"/>
  <c r="J317" i="2"/>
  <c r="J316" i="2" s="1"/>
  <c r="I200" i="9"/>
  <c r="I199" i="9" s="1"/>
  <c r="I181" i="9" s="1"/>
  <c r="I80" i="28"/>
  <c r="I127" i="28" s="1"/>
  <c r="D17" i="37"/>
  <c r="D16" i="37" s="1"/>
  <c r="J109" i="2"/>
  <c r="J335" i="2" s="1"/>
  <c r="D28" i="37"/>
  <c r="D26" i="37" s="1"/>
  <c r="J166" i="2"/>
  <c r="J338" i="2" s="1"/>
  <c r="K166" i="2"/>
  <c r="K338" i="2" s="1"/>
  <c r="J12" i="2" l="1"/>
  <c r="K345" i="2"/>
  <c r="K347" i="2" s="1"/>
  <c r="J348" i="2"/>
  <c r="K10" i="2"/>
  <c r="K333" i="2" s="1"/>
  <c r="E43" i="37"/>
  <c r="D22" i="38" l="1"/>
  <c r="D21" i="38" s="1"/>
  <c r="D20" i="38" s="1"/>
  <c r="D19" i="38" s="1"/>
  <c r="D14" i="38" s="1"/>
  <c r="D12" i="38" s="1"/>
  <c r="D28" i="30"/>
  <c r="D27" i="30" s="1"/>
  <c r="D26" i="30" s="1"/>
  <c r="D25" i="30" s="1"/>
  <c r="D20" i="30" s="1"/>
  <c r="D13" i="30" s="1"/>
  <c r="J11" i="2"/>
  <c r="D12" i="37"/>
  <c r="D10" i="37" s="1"/>
  <c r="D43" i="37" s="1"/>
  <c r="J334" i="2" l="1"/>
  <c r="J345" i="2" s="1"/>
  <c r="J347" i="2" s="1"/>
  <c r="J10" i="2"/>
  <c r="J333" i="2" s="1"/>
  <c r="C22" i="38" s="1"/>
  <c r="C21" i="38" s="1"/>
  <c r="C20" i="38" s="1"/>
  <c r="C19" i="38" s="1"/>
  <c r="C14" i="38" s="1"/>
  <c r="C12" i="38" s="1"/>
</calcChain>
</file>

<file path=xl/comments1.xml><?xml version="1.0" encoding="utf-8"?>
<comments xmlns="http://schemas.openxmlformats.org/spreadsheetml/2006/main">
  <authors>
    <author>2011</author>
  </authors>
  <commentList>
    <comment ref="E8" authorId="0" shapeId="0">
      <text>
        <r>
          <rPr>
            <b/>
            <sz val="8"/>
            <color indexed="81"/>
            <rFont val="Tahoma"/>
            <family val="2"/>
            <charset val="204"/>
          </rPr>
          <t>программа</t>
        </r>
      </text>
    </comment>
    <comment ref="F8" authorId="0" shapeId="0">
      <text>
        <r>
          <rPr>
            <b/>
            <sz val="8"/>
            <color indexed="81"/>
            <rFont val="Tahoma"/>
            <family val="2"/>
            <charset val="204"/>
          </rPr>
          <t>подпрограмма</t>
        </r>
      </text>
    </comment>
    <comment ref="H8" authorId="0" shapeId="0">
      <text>
        <r>
          <rPr>
            <b/>
            <sz val="8"/>
            <color indexed="81"/>
            <rFont val="Tahoma"/>
            <family val="2"/>
            <charset val="204"/>
          </rPr>
          <t>направление</t>
        </r>
        <r>
          <rPr>
            <sz val="8"/>
            <color indexed="81"/>
            <rFont val="Tahoma"/>
            <family val="2"/>
            <charset val="204"/>
          </rPr>
          <t xml:space="preserve">
</t>
        </r>
      </text>
    </comment>
  </commentList>
</comments>
</file>

<file path=xl/sharedStrings.xml><?xml version="1.0" encoding="utf-8"?>
<sst xmlns="http://schemas.openxmlformats.org/spreadsheetml/2006/main" count="4871" uniqueCount="572">
  <si>
    <t>Резервные фонды</t>
  </si>
  <si>
    <t>Резервные фонды местных администраций</t>
  </si>
  <si>
    <t>Мобилизационная и вневойсковая подготовка</t>
  </si>
  <si>
    <t>Благоустройство</t>
  </si>
  <si>
    <t>Наименование</t>
  </si>
  <si>
    <t>Раздел</t>
  </si>
  <si>
    <t>Целевая статья</t>
  </si>
  <si>
    <t>Вид расхода</t>
  </si>
  <si>
    <t xml:space="preserve">   </t>
  </si>
  <si>
    <t xml:space="preserve">  </t>
  </si>
  <si>
    <t xml:space="preserve">        </t>
  </si>
  <si>
    <t>01</t>
  </si>
  <si>
    <t>03</t>
  </si>
  <si>
    <t>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</si>
  <si>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</si>
  <si>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</si>
  <si>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</si>
  <si>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Жилищное хозяйство</t>
  </si>
  <si>
    <t>07</t>
  </si>
  <si>
    <t>08</t>
  </si>
  <si>
    <t>Культура</t>
  </si>
  <si>
    <t>Другие общегосударственные вопросы</t>
  </si>
  <si>
    <t>ГРБС</t>
  </si>
  <si>
    <t>Подраздел</t>
  </si>
  <si>
    <t>871</t>
  </si>
  <si>
    <t>09</t>
  </si>
  <si>
    <t>Функционирование законодательных (представительных) органов государственной власти и представительных органов муниципальных образований</t>
  </si>
  <si>
    <t>Глава местной администрации</t>
  </si>
  <si>
    <t>Приложение 3</t>
  </si>
  <si>
    <t>Приложение 4</t>
  </si>
  <si>
    <t>Профессиональная подготовка, переподготовка и повышение квалификации</t>
  </si>
  <si>
    <t>Администрация МО р.п. Первомайский</t>
  </si>
  <si>
    <t>Защита населения и территории от чрезвычайных ситуаций природного и техногенного характера, гражданская оборона</t>
  </si>
  <si>
    <t>Другие вопросы в области культуры, кинематографии</t>
  </si>
  <si>
    <t>Другие вопросы в области физической культуры и спорта</t>
  </si>
  <si>
    <t>Коммунальное хозяйство</t>
  </si>
  <si>
    <t>10</t>
  </si>
  <si>
    <t>11</t>
  </si>
  <si>
    <t>Межбюджетные трансферты</t>
  </si>
  <si>
    <t>Социальное обеспечение населения</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</si>
  <si>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</si>
  <si>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Дорожное хозяйство (дорожные фонды)</t>
  </si>
  <si>
    <t>Другие вопросы в области национальной экономики</t>
  </si>
  <si>
    <t>12</t>
  </si>
  <si>
    <t>872</t>
  </si>
  <si>
    <t>99</t>
  </si>
  <si>
    <t>Приложение 8</t>
  </si>
  <si>
    <t>Обеспечение функционирования Собрания депутатов</t>
  </si>
  <si>
    <t>Обеспечение деятельности Собрания депутатов поселений Щекинского района</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</si>
  <si>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</si>
  <si>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</si>
  <si>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</si>
  <si>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</si>
  <si>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</si>
  <si>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бюджету муниципального района из бюджетов поселений</t>
  </si>
  <si>
    <t>Расходы за счет переданных полномочий на осуществление муниципального жилищного контроля</t>
  </si>
  <si>
    <t>Содержание недвижимого имущества</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</si>
  <si>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</si>
  <si>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Непрограммные расходы</t>
  </si>
  <si>
    <t>Иные непрограммные мероприятия</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</si>
  <si>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</si>
  <si>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97</t>
  </si>
  <si>
    <t xml:space="preserve">Ремонт дорог </t>
  </si>
  <si>
    <t>Ремонт придомовой территории</t>
  </si>
  <si>
    <t>Ремонт тротуаров</t>
  </si>
  <si>
    <t>Ремонт муниципального жилого фонда и мест общего пользования</t>
  </si>
  <si>
    <t>06</t>
  </si>
  <si>
    <t>Содержание и ремонт уличного освещения на территории МО р.п. Первомайский</t>
  </si>
  <si>
    <t>Оплата потребленной электроэнергии на уличное освещение</t>
  </si>
  <si>
    <t>Организация и проведение мероприятий по благоустройству и озеленению на территории МО р.п. Первомайский</t>
  </si>
  <si>
    <t>Спиливание деревьев</t>
  </si>
  <si>
    <t>Техническое обслуживание и ремонт уличного освещения</t>
  </si>
  <si>
    <t>Организация сбора и вывоза мусора</t>
  </si>
  <si>
    <t>Ремонт, приобретение и установка детских площадок</t>
  </si>
  <si>
    <t>Содержание мест массового отдыха</t>
  </si>
  <si>
    <t>Обеспечение деятельности МКУ "ПУЖиБ"</t>
  </si>
  <si>
    <t>Расходы на обеспечение деятельности (оказание услуг) муниципальных учреждений</t>
  </si>
  <si>
    <t>Молодежная политика и оздоровление детей</t>
  </si>
  <si>
    <t>Проведение праздничных мероприятий</t>
  </si>
  <si>
    <t>Молодежная политика</t>
  </si>
  <si>
    <t>Оказание содействия в трудоустройстве несовершеннолетних граждан</t>
  </si>
  <si>
    <t>Обеспечение деятельности МКУК "ППБ"</t>
  </si>
  <si>
    <t>Организация досуга и массового отдыха</t>
  </si>
  <si>
    <t>Проведение конкурсов "Лучший двор", "Праздник двора"</t>
  </si>
  <si>
    <t>Приобретение и обслуживание новогодней елки</t>
  </si>
  <si>
    <t>96</t>
  </si>
  <si>
    <t>Социальная поддержка населения муниципального образования</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</si>
  <si>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</si>
  <si>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</si>
  <si>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</si>
  <si>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</si>
  <si>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Аренда спортивно-оздоровительного комплекса</t>
  </si>
  <si>
    <t xml:space="preserve">Межбюджетные трансферты </t>
  </si>
  <si>
    <t>Установка и обслуживание объектов дорожной инфраструктуры</t>
  </si>
  <si>
    <t>Приобретение, установка и обслуживание малых архитектурных форм</t>
  </si>
  <si>
    <t>Содержание имущества и казны</t>
  </si>
  <si>
    <t>Подпрограмма "Содержание имущества и казны"</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</si>
  <si>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</si>
  <si>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</si>
  <si>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Подпрограмма "Ремонт муниципального жилого фонда и мест общего пользования"</t>
  </si>
  <si>
    <t>Подпрограмма "Молодежная политика"</t>
  </si>
  <si>
    <t>Подпрограмма "Организация досуга и массового отдыха"</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</si>
  <si>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</si>
  <si>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Установка и разработка схемы дислокации дорожных знаков и дорожной разметки дорог общего пользования</t>
  </si>
  <si>
    <t>91</t>
  </si>
  <si>
    <t>Расходы на опубликование нормативных актов</t>
  </si>
  <si>
    <t>Аппарат администрации</t>
  </si>
  <si>
    <t>Мероприятия по ремонту в области благоустройства</t>
  </si>
  <si>
    <t xml:space="preserve">Обеспечение функционирования Администрации МО  </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</si>
  <si>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</si>
  <si>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</si>
  <si>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Муниципальная программа "Развитие субъектов малого и среднего предпринимательства"</t>
  </si>
  <si>
    <t>Взносы на капитальный ремонт общего имущества в многоквартирных домах по помещениям находящимся в собственности МО</t>
  </si>
  <si>
    <t>Подпрограмма "Оценкам недвижимости, признание прав и регулирование отношений по муниципальной собственности"</t>
  </si>
  <si>
    <t>Проведение конкурсов</t>
  </si>
  <si>
    <t>Расходы на выплату персоналу казенных учреждений</t>
  </si>
  <si>
    <t>Расходы на выплату персоналу государственных органов</t>
  </si>
  <si>
    <t>Уплата налогов, сборов и иных платежей</t>
  </si>
  <si>
    <t>870</t>
  </si>
  <si>
    <t>Резервные средства</t>
  </si>
  <si>
    <t>Публичные нормативные социальные выплаты гражданам</t>
  </si>
  <si>
    <t>Приложение 1</t>
  </si>
  <si>
    <t>Приложение 2</t>
  </si>
  <si>
    <t>13</t>
  </si>
  <si>
    <t>Развитие и поддержание информационной системы Администрации МО р.п. Первомайский Щекинского района</t>
  </si>
  <si>
    <t>Приобретение, техническое и информационное обслуживание компьютерной техники, комплектующих и программного обеспечения</t>
  </si>
  <si>
    <t>1</t>
  </si>
  <si>
    <t>240</t>
  </si>
  <si>
    <t>0</t>
  </si>
  <si>
    <t>Организация сотрудничества органов местного самоуправления с органами территориального общественного самоуправления</t>
  </si>
  <si>
    <t>3</t>
  </si>
  <si>
    <t>Развитие и поддержание информационной системы МКУК "ППБ"</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</si>
  <si>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</si>
  <si>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общественных организаций  в муниципальном образовании рабочий поселок Первомайский Щекинского района</t>
  </si>
  <si>
    <t>Приобретение жилых помещений</t>
  </si>
  <si>
    <t>Приложение 6</t>
  </si>
  <si>
    <t>Содержание автомобильных дорог и тротуаров</t>
  </si>
  <si>
    <t>Иные закупки товаров, работ и услуг для обеспечения государственных (муниципальных) нужд</t>
  </si>
  <si>
    <t>Представительские расходы в рамках непрограммного направления деятельности "Собрания депутатов поселений Щекинского района"</t>
  </si>
  <si>
    <t>Установка приборов учета</t>
  </si>
  <si>
    <t>Обеспечение деятельности аппарат Администрации МО</t>
  </si>
  <si>
    <t>(тыс. рублей)</t>
  </si>
  <si>
    <t>№ п/п</t>
  </si>
  <si>
    <t>Решение Собрания депутатов МО р.п. Первомайский "О предоставлении льгот по оплате за услуги бани №2, расположенной по адресу: Щёкинский район, МО р.п. Первомайский, ул. Октябрьская, д.33"</t>
  </si>
  <si>
    <t/>
  </si>
  <si>
    <t>Решение Собрания депутатов МО р.п. Первомайский "Об утверждении Положения о предоставлении средств материнского (семейного) капитала в МО р.п. Первомайский"</t>
  </si>
  <si>
    <t>Итого</t>
  </si>
  <si>
    <t>000 01 00 00 00 00 0000 000</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</si>
  <si>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</si>
  <si>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</si>
  <si>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</si>
  <si>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Получение кредитов от кредитных организаций бюджетом поселений в валюте Российской Федерации</t>
  </si>
  <si>
    <t>Погашение кредитов, предоставленных кредитными организациями в валюте Российской Федерации</t>
  </si>
  <si>
    <t>погашение бюджетом  поселения кредитов от кредитных организаций в валюте Российской Федерации</t>
  </si>
  <si>
    <t>000 01 05 00 00 00 0000 000</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</si>
  <si>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</si>
  <si>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</si>
  <si>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</si>
  <si>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</si>
  <si>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</si>
  <si>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</si>
  <si>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000 01 05 02 01 13 0000 510</t>
  </si>
  <si>
    <t>Увеличение прочих остатков денежных средств местных бюджетов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</si>
  <si>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</si>
  <si>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</si>
  <si>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</si>
  <si>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</si>
  <si>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</si>
  <si>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</si>
  <si>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000 01 05 02 01 13 0000 610</t>
  </si>
  <si>
    <t>Уменьшение прочих остатков денежных средств местных бюджетов</t>
  </si>
  <si>
    <t>Приложение 5</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</si>
  <si>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</si>
  <si>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</si>
  <si>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</si>
  <si>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</si>
  <si>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</si>
  <si>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</si>
  <si>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000 1 01 02010 01 0000 110</t>
  </si>
  <si>
    <t>000 1 01 02020 01 0000 110</t>
  </si>
  <si>
    <t>000 1 01 02030 01 0000 110</t>
  </si>
  <si>
    <t>000 1 06 00000 00 0000 000</t>
  </si>
  <si>
    <t>НАЛОГИ НА ИМУЩЕСТВО</t>
  </si>
  <si>
    <t>000 1 06 01000 00 0000 110</t>
  </si>
  <si>
    <t>Налог на имущество физических лиц</t>
  </si>
  <si>
    <t>000 1 06 01030 13 0000 110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</si>
  <si>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</si>
  <si>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000 1 06 06000 00 0000 110</t>
  </si>
  <si>
    <t>Земельный налог</t>
  </si>
  <si>
    <t>000 1 06 06030 03 0000 110</t>
  </si>
  <si>
    <t>Земельный налог с организаций</t>
  </si>
  <si>
    <t>000 1 06 06033 13 0000 110</t>
  </si>
  <si>
    <t>Земельный налог с организаций, обладающих земельным участком, расположенным в границах городских  поселений</t>
  </si>
  <si>
    <t>000 1 06 06040 00 0000 110</t>
  </si>
  <si>
    <t>Земельный налог с физических лиц</t>
  </si>
  <si>
    <t>000 1 06 06043 13 0000 110</t>
  </si>
  <si>
    <t>Земельный налог с физических, обладающих земельным участком, расположенным в границах  городских  поселений</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</si>
  <si>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</si>
  <si>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</si>
  <si>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</si>
  <si>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</si>
  <si>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</si>
  <si>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</si>
  <si>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</si>
  <si>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</si>
  <si>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</si>
  <si>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</si>
  <si>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000 1 14 00000 00 0000 000</t>
  </si>
  <si>
    <t>ДОХОДЫ ОТ ПРОДАЖИ МАТЕРИАЛЬНЫХ И НЕМАТЕРИАЛЬНЫХ АКТИВОВ</t>
  </si>
  <si>
    <t>000 1 14 06000 00 0000 430</t>
  </si>
  <si>
    <t>Доходы от продажи земельных участков, находящихся в государственной и муниципальной собственности</t>
  </si>
  <si>
    <t>000 1 14 06010 00 0000 430</t>
  </si>
  <si>
    <t>Доходы от продажи земельных участков, государственная собственность на которые не разграничена</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</si>
  <si>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</si>
  <si>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</si>
  <si>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000 1 16 00000 00 0000 000</t>
  </si>
  <si>
    <t>ШТРАФЫ, САНКЦИИ, ВОЗМЕЩЕНИЕ УЩЕРБА</t>
  </si>
  <si>
    <t>000 1 17 00000 00 0000 000</t>
  </si>
  <si>
    <t>ПРОЧИЕ НЕНАЛОГОВЫЕ ДОХОДЫ</t>
  </si>
  <si>
    <t>000 1 17 05050 13 0000 180</t>
  </si>
  <si>
    <t>Прочие неналоговые доходы бюджетов городских поселений</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</si>
  <si>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</si>
  <si>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</si>
  <si>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</si>
  <si>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t>
  </si>
  <si>
    <t>000 2 02 01000 00 0000 151</t>
  </si>
  <si>
    <t>Дотации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</si>
  <si>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</si>
  <si>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городских поселений на осуществление первичного воинского учета на территориях, где отсутствуют военные комиссариаты</t>
  </si>
  <si>
    <t>000 2 02 04000 00 0000 151</t>
  </si>
  <si>
    <t>Иные межбюджетные трансферты</t>
  </si>
  <si>
    <t>000 2 02 04025 13 0000 151</t>
  </si>
  <si>
    <t>Межбюджетные трансферты, передаваемые бюджетам городских поселений на комплектование книжных фондов библиотек муниципальных образований</t>
  </si>
  <si>
    <t>Прочие межбюджетные трансферты, передаваемые бюджетам городских поселений</t>
  </si>
  <si>
    <t>000 2 04 00000 00 0000 000</t>
  </si>
  <si>
    <t>БЕЗВОЗМЕЗДНЫЕ ПОСТУПЛЕНИЯ ОТ НЕГОСУДАРСТВЕННЫХ ОРГАНИЗАЦИЙ</t>
  </si>
  <si>
    <t>000 2 04 05020 13 0000 180</t>
  </si>
  <si>
    <t>Поступления от денежных пожертвований, предоставляемых негосударственными организациями получателям средств бюджетов городских поселений</t>
  </si>
  <si>
    <t>000 2 07 00000 00 0000 000</t>
  </si>
  <si>
    <t>ПРОЧИЕ БЕЗВОЗМЕЗДНЫЕ ПОСТУПЛЕНИЯ</t>
  </si>
  <si>
    <t>000 2 07 05020 13 0000 180</t>
  </si>
  <si>
    <t>Поступления от денежных пожертвований, предоставляемых физическими лицами получателям средств бюджетов городских поселений</t>
  </si>
  <si>
    <t>к Решению Собрания депутатов МО р.п. Первомайский</t>
  </si>
  <si>
    <t>Приложение 7</t>
  </si>
  <si>
    <t>в том числе:</t>
  </si>
  <si>
    <t>Наименование показателя</t>
  </si>
  <si>
    <t>Код бюджетной классификации</t>
  </si>
  <si>
    <t>Исполнено</t>
  </si>
  <si>
    <t>доходов бюджета области</t>
  </si>
  <si>
    <t>1 01 02010 01 0000 110</t>
  </si>
  <si>
    <t>1 01 02020 01 0000 110</t>
  </si>
  <si>
    <t>1 01 02030 01 0000 110</t>
  </si>
  <si>
    <t>Федеральная налоговая служба</t>
  </si>
  <si>
    <t>1 06 01030 13 0000 110</t>
  </si>
  <si>
    <t>1 06 06033 13 0000 110</t>
  </si>
  <si>
    <t>1 06 06043 13 0000 110</t>
  </si>
  <si>
    <t>Администрация муниципального образования Щекинский район</t>
  </si>
  <si>
    <t>1 11 05013 13 0000 120</t>
  </si>
  <si>
    <t>1 14 06013 13 0000 430</t>
  </si>
  <si>
    <t>Администрация муниципального образования рабочий поселок Первомайский Щекинского района</t>
  </si>
  <si>
    <t>1 17 05050 13 0000 180</t>
  </si>
  <si>
    <t>2 04 05020 13 0000 180</t>
  </si>
  <si>
    <t>2 07 05020 13 0000 180</t>
  </si>
  <si>
    <t>ДОХОДЫ, ВСЕГО</t>
  </si>
  <si>
    <t>1 11 09045 13 0000 120</t>
  </si>
  <si>
    <t>администра-тора поступлений</t>
  </si>
  <si>
    <t>Исполнение</t>
  </si>
  <si>
    <t>Код  бюджетной классификации</t>
  </si>
  <si>
    <t xml:space="preserve"> Наименование показателя</t>
  </si>
  <si>
    <t xml:space="preserve">Утверждено </t>
  </si>
  <si>
    <t xml:space="preserve">ДОХОДЫ, ВСЕГО </t>
  </si>
  <si>
    <t>Раз-дел</t>
  </si>
  <si>
    <t>Под-раз-дел</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</si>
  <si>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</si>
  <si>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</si>
  <si>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</si>
  <si>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</si>
  <si>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</si>
  <si>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Другие вопросы в области жилищно-коммунального хозяйства</t>
  </si>
  <si>
    <t>Образование</t>
  </si>
  <si>
    <t>Культура и кинематография</t>
  </si>
  <si>
    <t>Социальная политика</t>
  </si>
  <si>
    <t>Физическая культура и спорт</t>
  </si>
  <si>
    <t xml:space="preserve">Наименование показателя        </t>
  </si>
  <si>
    <t xml:space="preserve">Код бюджетной классификации     </t>
  </si>
  <si>
    <t>администратора источника финансирования</t>
  </si>
  <si>
    <t>источника финансирования</t>
  </si>
  <si>
    <t>ИСТОЧНИКИ ВНУТРЕННЕГО ФИНАНСИРОВАНИЯ ДЕФИЦИТА БЮДЖЕТА</t>
  </si>
  <si>
    <t>01 05 02 01 13 0000 610</t>
  </si>
  <si>
    <t>01 05 02 01 00 0000 610</t>
  </si>
  <si>
    <t>01 05 02 00 00 0000 600</t>
  </si>
  <si>
    <t>01 05 00 00 00 0000 600</t>
  </si>
  <si>
    <t>01 05 02 01 13 0000 510</t>
  </si>
  <si>
    <t>01 05 02 01 00 0000 510</t>
  </si>
  <si>
    <t>01 05 02 00 00 0000 500</t>
  </si>
  <si>
    <t>01 05 00 00 00 0000 500</t>
  </si>
  <si>
    <t>Изменение остатков средств на счетах по учету средств бюджетов</t>
  </si>
  <si>
    <t>Приложение 9</t>
  </si>
  <si>
    <t>Приложение 10</t>
  </si>
  <si>
    <t>1 16 51040 02 0000 140</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</si>
  <si>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</si>
  <si>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</si>
  <si>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</si>
  <si>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</si>
  <si>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</si>
  <si>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</si>
  <si>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за нарушения правил перевозок пассажиров и багажа легковым такси</t>
  </si>
  <si>
    <t>000 1 16 50000 01 0000 140</t>
  </si>
  <si>
    <t>000 1 14 06313 13 0000 430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</si>
  <si>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</si>
  <si>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</si>
  <si>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</si>
  <si>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000 1 14 06300 00 0000 430</t>
  </si>
  <si>
    <t>Информирование населения о деятельности органов местного самоуправления</t>
  </si>
  <si>
    <t>26910</t>
  </si>
  <si>
    <t>00</t>
  </si>
  <si>
    <t>00110</t>
  </si>
  <si>
    <t>00190</t>
  </si>
  <si>
    <t>Расходы за счет переданных полномочий на подготовку, утверждение и выдача градостроительного плана земельного участка</t>
  </si>
  <si>
    <t>85050</t>
  </si>
  <si>
    <t>Расходы за счет переданных полномочий на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t>
  </si>
  <si>
    <t>85060</t>
  </si>
  <si>
    <t>Расходы за счет переданных полномочий на выдачу разрешений на ввод в эксплуатацию при осуществлении строительства, реконструкции и объектов капитального строительства, расположенных на территории муниципального образования</t>
  </si>
  <si>
    <t>85070</t>
  </si>
  <si>
    <t>85100</t>
  </si>
  <si>
    <t>Расходы за счет переданных полномочий на осуществление муниципального земельного контроля за исключением земель поселения</t>
  </si>
  <si>
    <t>85110</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</si>
  <si>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</si>
  <si>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85360</t>
  </si>
  <si>
    <t>Обеспечение деятельности финансовых, налоговых и таможенных органов и органов финансового (финансово-бюджетного) надзора</t>
  </si>
  <si>
    <t>2</t>
  </si>
  <si>
    <t>Расходы за счет переданных полномочий на осуществление внешнего муниципального финансового контроля</t>
  </si>
  <si>
    <t>85040</t>
  </si>
  <si>
    <t>28810</t>
  </si>
  <si>
    <t>29060</t>
  </si>
  <si>
    <t>Ремонт, содержание и обслуживание памятника погибшим воинам</t>
  </si>
  <si>
    <t>29270</t>
  </si>
  <si>
    <t>29070</t>
  </si>
  <si>
    <t>Оснащение компьютерной техникой</t>
  </si>
  <si>
    <t>29050</t>
  </si>
  <si>
    <t>Обеспечение функционирования официального портала МО р.п. Первомайский</t>
  </si>
  <si>
    <t>Сопровождение и обновление информационных систем</t>
  </si>
  <si>
    <t>Защита информации от несанкционированного доступа</t>
  </si>
  <si>
    <t>29010</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</si>
  <si>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t>
  </si>
  <si>
    <t>28860</t>
  </si>
  <si>
    <t>51180</t>
  </si>
  <si>
    <t>Совершенствование гражданской обороны (защиты) населения МО р.п. Первомайский</t>
  </si>
  <si>
    <t>Накопление запасов материально-технических, продовольственных и медицинских средств в целях гражданской обороны</t>
  </si>
  <si>
    <t>29560</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</si>
  <si>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</si>
  <si>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Накопление запасов материально-технических средств для защиты населения от чрезвычайных ситуаций</t>
  </si>
  <si>
    <t>29540</t>
  </si>
  <si>
    <t>Обеспечение первичных мер пожарной безопасности</t>
  </si>
  <si>
    <t>29530</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</si>
  <si>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</si>
  <si>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85090</t>
  </si>
  <si>
    <t>29100</t>
  </si>
  <si>
    <t>29110</t>
  </si>
  <si>
    <t>29120</t>
  </si>
  <si>
    <t>29130</t>
  </si>
  <si>
    <t>29330</t>
  </si>
  <si>
    <t>29590</t>
  </si>
  <si>
    <t>29910</t>
  </si>
  <si>
    <t>29420</t>
  </si>
  <si>
    <t>Переселение граждан из аварийного жилищного фонда в муниципальном образовании рабочий поселок Первомайский Щекинского района</t>
  </si>
  <si>
    <t>29800</t>
  </si>
  <si>
    <t>26670</t>
  </si>
  <si>
    <t>29190</t>
  </si>
  <si>
    <t>29200</t>
  </si>
  <si>
    <t>29210</t>
  </si>
  <si>
    <t>29370</t>
  </si>
  <si>
    <t xml:space="preserve">Мероприятия по озеленению территории </t>
  </si>
  <si>
    <t>29610</t>
  </si>
  <si>
    <t>29620</t>
  </si>
  <si>
    <t>29900</t>
  </si>
  <si>
    <t>Другие вопросы в области жилищное - коммунального хозяйства</t>
  </si>
  <si>
    <t>00590</t>
  </si>
  <si>
    <t>Развитие и поддержание информационной системы МКУ "ПУЖиБ"</t>
  </si>
  <si>
    <t>Обслуживание программ</t>
  </si>
  <si>
    <t>29240</t>
  </si>
  <si>
    <t>29260</t>
  </si>
  <si>
    <t>Внедрение энергосберегающих технологий</t>
  </si>
  <si>
    <t>Энергосбережение и повышение энергетической эффективности</t>
  </si>
  <si>
    <t>23380</t>
  </si>
  <si>
    <t>80100</t>
  </si>
  <si>
    <t>Социальные выплаты гражданам, кроме публичных нормативных социальных выплат</t>
  </si>
  <si>
    <t>Оплата дополнительного отпуска работникам муниципальных библиотек (структурных подразделений)</t>
  </si>
  <si>
    <t>80130</t>
  </si>
  <si>
    <t>29020</t>
  </si>
  <si>
    <t>29250</t>
  </si>
  <si>
    <t>28900</t>
  </si>
  <si>
    <t>Выплата материнского капитала</t>
  </si>
  <si>
    <t>29630</t>
  </si>
  <si>
    <t>29230</t>
  </si>
  <si>
    <t>29570</t>
  </si>
  <si>
    <t>Периодическая печать и издательства</t>
  </si>
  <si>
    <t>26250</t>
  </si>
  <si>
    <t>Средства массовой информации</t>
  </si>
  <si>
    <t>Подготовка, утверждение и выдача градостроительного плана земельного участка</t>
  </si>
  <si>
    <t>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t>
  </si>
  <si>
    <t>Осуществление муниципального жилищного контроля</t>
  </si>
  <si>
    <t>Осуществление внутреннего муниципального финансового контроля в сфере бюджетных правоотношений в части осуществления последующего контроля</t>
  </si>
  <si>
    <t>Осуществление внешнего муниципального финансового контроля</t>
  </si>
  <si>
    <t>Организация деятельности аварийно-спасательных служб и (или) аварийно-спасательных формирований на территории муниципального образования</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</si>
  <si>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</si>
  <si>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"Обеспечение первичных мер пожарной безопасности"</t>
  </si>
  <si>
    <t>4</t>
  </si>
  <si>
    <t>Подпрограмма "Переселение граждан из аварийного жилищного фонда в муниципальном образовании рабочий поселок Первомайский Щекинского района"</t>
  </si>
  <si>
    <t>Подпрограмма "Развитие и поддержание информационной системы Администрации МО р.п. Первомайский Щекинского района"</t>
  </si>
  <si>
    <t>Правительство Тульской области</t>
  </si>
  <si>
    <t>Прочие дотации бюджетам городских поселений</t>
  </si>
  <si>
    <t>2 02 19999 13 0000 151</t>
  </si>
  <si>
    <t>1 16 33050 13 0000 140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</si>
  <si>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</si>
  <si>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</si>
  <si>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000 1 16 33000 00 0000 000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</si>
  <si>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</si>
  <si>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Дотации бюджетам бюджетной системы Российской Федерации</t>
  </si>
  <si>
    <t>000 2 02 10000 00 0000 151</t>
  </si>
  <si>
    <t>000 2 02 19999 13 0000 151</t>
  </si>
  <si>
    <t>Оплата труда работникам муниципальных учреждений культурно-досугового типа</t>
  </si>
  <si>
    <t>Муниципальная программа "Информирование населения о деятельности органов местного самоуправления МО р.п. Первомайский Щекинского района"</t>
  </si>
  <si>
    <t>00000</t>
  </si>
  <si>
    <t>Содержание свободного муниципального жилья</t>
  </si>
  <si>
    <t>29290</t>
  </si>
  <si>
    <t>Обеспечение доступа к сети Интернет</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</si>
  <si>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</si>
  <si>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Муниципальная программа "Развитие общественных организаций в МО р.п. Первомайский Щекинского района"</t>
  </si>
  <si>
    <t>Муниципальная программа "Энергосбережение и повышение энергетической эффективности в муниципальном образовании рабочий поселок Первомайский"</t>
  </si>
  <si>
    <t>Муниципальная программа "Организация градостроительной деятельности на территории муниципального образования рабочий поселок Первомайский Щёкинского района"</t>
  </si>
  <si>
    <t>850</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</si>
  <si>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</si>
  <si>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Мероприятия по профилактике ЧС природного и техногенного характера и безопасности населения на водных объектах</t>
  </si>
  <si>
    <t>29520</t>
  </si>
  <si>
    <t>Обеспечение пожарной безопасности</t>
  </si>
  <si>
    <t>Другие вопросы в области национальной безопасности и правоохранительной деятельности</t>
  </si>
  <si>
    <t>14</t>
  </si>
  <si>
    <t>Муниципальная программа "Комплексная программа профилактики правонарушений в муниципальном образовании рабочий посёлок Первомайский Щёкинского района"</t>
  </si>
  <si>
    <t>Приобретение и содержание опорного пункта правопорядка</t>
  </si>
  <si>
    <t>26680</t>
  </si>
  <si>
    <t>Муниципальная программа "Организация благоустройства территории МО р.п. Первомайский Щекинского района"</t>
  </si>
  <si>
    <t>L5550</t>
  </si>
  <si>
    <t>Муниципальная программа "Развитие субъектов малого и среднего предпринимательства на территории МО р.п. Первомайский Щекинского района"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</si>
  <si>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</si>
  <si>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</si>
  <si>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Бюджетные инвестиции</t>
  </si>
  <si>
    <t>Приобретение, поставка и обслуживание светодиодных конструкций</t>
  </si>
  <si>
    <t>29710</t>
  </si>
  <si>
    <t>Муниципальная программа "Развитие социально – культурной работы с населением в муниципальном образовании рабочий поселок Первомайский Щекинского района"</t>
  </si>
  <si>
    <t>Обеспечение деятельности МАУК "ДК "ХИМИК"</t>
  </si>
  <si>
    <t>Субсидии автономным учреждениям</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</si>
  <si>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</si>
  <si>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Подпрограмма "Совершенствование гражданской обороны (защиты) населения МО р.п. Первомайский"</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</si>
  <si>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</si>
  <si>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29220</t>
  </si>
  <si>
    <t>29490</t>
  </si>
  <si>
    <t>Подпрограмма "Обеспечение деятельности МКУ "ПУЖиБ""</t>
  </si>
  <si>
    <t>110</t>
  </si>
  <si>
    <t>Подпрограмма "Обеспечение деятельности МКУК "ППБ""</t>
  </si>
  <si>
    <t>Подпрограмма "Обеспечение деятельности МАУК "ДК "ХИМИК"</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</si>
  <si>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</si>
  <si>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</si>
  <si>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</si>
  <si>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</si>
  <si>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</si>
  <si>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Мероприятие "Защита информации от несанкционированного доступа"</t>
  </si>
  <si>
    <t>Подпрограмма "Развитие и поддержание информационной системы МКУ "ПУЖиБ""</t>
  </si>
  <si>
    <t>Мероприятие "Обслуживание программ"</t>
  </si>
  <si>
    <t>Мероприятие "Внедрение энергосберегающих технологий"</t>
  </si>
  <si>
    <t>Мероприятие "Информирование населения о деятельности органов местного самоуправления"</t>
  </si>
  <si>
    <t>Муниципальная программа "Комплексная программа профилактики правонарушений в муниципальном образовании рабочий посёлок Первомайский Щёкинского район</t>
  </si>
  <si>
    <t>Группа, подгруппа видов расходов</t>
  </si>
  <si>
    <t>000 2 02 49999 13 0000 151</t>
  </si>
  <si>
    <t>000 2 02 35118 13 0000 151</t>
  </si>
  <si>
    <t>000 2 02 35118 00 0000 151</t>
  </si>
  <si>
    <t>000 2 02 30000 00 0000 151</t>
  </si>
  <si>
    <t>Субвенции бюджетам бюджетной системы Российской Федерации</t>
  </si>
  <si>
    <t>2 02 49999 13 0000 151</t>
  </si>
  <si>
    <t>2 02 35118 13 0000 151</t>
  </si>
  <si>
    <t>за 2018 год</t>
  </si>
  <si>
    <t>от "___" _____________ 2019 года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</si>
  <si>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</si>
  <si>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</si>
  <si>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</si>
  <si>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</si>
  <si>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</si>
  <si>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Прочие поступления от денежных взысканий (штрафов) и иных сумм в возмещение ущерба, зачисляемые в бюджеты городских поселений</t>
  </si>
  <si>
    <t>1 16 90050 13 0000 140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</si>
  <si>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</si>
  <si>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2 18 60010 13 0000 151</t>
  </si>
  <si>
    <t>Исполнение
доходов бюджета муниципального образования рабочий поселок Первомайский Щекинского района по кодам видов доходов, подвидов доходов, классификации операций сектора государственного управления, относящихся  к доходам бюджета, за 2018 год</t>
  </si>
  <si>
    <t>ЗТО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</si>
  <si>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Реализация мероприятий по применению информационных технологий</t>
  </si>
  <si>
    <t>Распределение иных межбюджетных трансфертов на компенсацию выпадающих доходов бюджетов муниципальных образований поселений Щекинского района в связи с предоставлением налоговой льготы для отдельных категорий налогоплательщиков в соответствии с пунктом 5 статьи 391 налогового кодекса Российской Федерации на 2018 год</t>
  </si>
  <si>
    <t>000 1 16 90050 13 0000 140</t>
  </si>
  <si>
    <t>000 1 16 90000 00 0000 140</t>
  </si>
  <si>
    <t>Прочие поступления от денежных взысканий (штрафов) и иных сумм в возмещение ущерба</t>
  </si>
  <si>
    <t>000 2 04 05000 13 0000 180</t>
  </si>
  <si>
    <t>Безвозмездные поступления от негосударственных организаций в бюджеты городских поселений</t>
  </si>
  <si>
    <t>000 2 07 05000 13 0000 180</t>
  </si>
  <si>
    <t>Прочие безвозмездные поступления в бюджеты городских поселений</t>
  </si>
  <si>
    <t>000 2 18 00000 00 0000 000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</si>
  <si>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ЛЕТПРОЧИЕ БЕЗВОЗМЕЗДНЫЕ ПОСТУПЛЕНИЯ</t>
  </si>
  <si>
    <t>000 2 18 00000 00 0000 151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</si>
  <si>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</si>
  <si>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000 2 18 00000 13 0000 151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</si>
  <si>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</si>
  <si>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000 2 18 60010 13 0000 151</t>
  </si>
  <si>
    <t>Исполнение
плана межбюджетных трансфертов, передаваемых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за 2018 год</t>
  </si>
  <si>
    <t>Исполнение
расходов бюджета муниципального образования рабочий поселок Первомайский Щекинского района по ведомственной структуре расходов бюджета муниципального образования рабочий поселок Первомайский Щекинского района за 2018 год</t>
  </si>
  <si>
    <t>Утверждено Решением Собрания депутатов "О бюджете муниципального образования рабочий поселок Первомайский на 2018 год и на плановый период 2019 и 2020 годов"</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</si>
  <si>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 за счет иных межбюджетных трансфертов на компенсацию выпадающих доходов бюджетов муниципальных образований поселений Щекинского района в связи с предоставлением налоговой льготы для отдельных категорий налогоплательщиков в соответствии с пунктом 5 статьи 391 налогового кодекса Российской Федерации на 2018 год</t>
  </si>
  <si>
    <t>92</t>
  </si>
  <si>
    <t>82410</t>
  </si>
  <si>
    <t xml:space="preserve">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t>
  </si>
  <si>
    <t>85080</t>
  </si>
  <si>
    <t>Мероприятие «Подготовка и утверждение программы комплексного развития транспортной инфраструктуры муниципального образования рабочий поселок Первомайский Щекинского района»</t>
  </si>
  <si>
    <t>Подготовка и утверждение программы комплексного развития транспортной инфраструктуры</t>
  </si>
  <si>
    <t>29720</t>
  </si>
  <si>
    <t>Мероприятие «Подготовка и утверждение программы комплексного развития социальной инфраструктуры муниципального образования рабочий поселок Первомайский Щекинского района»</t>
  </si>
  <si>
    <t>Подготовка и утверждение программы комплексного развития социальной инфраструктуры</t>
  </si>
  <si>
    <t>29730</t>
  </si>
  <si>
    <t>Исполнение судебных актов</t>
  </si>
  <si>
    <t>830</t>
  </si>
  <si>
    <t>Ремонт защитных сооружений ГО</t>
  </si>
  <si>
    <t>29580</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</si>
  <si>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2018-2022 годы»</t>
  </si>
  <si>
    <t>Связь и информатика</t>
  </si>
  <si>
    <t>Межбюджетные трансферты на реализацию мероприятий по применению информационных технологий</t>
  </si>
  <si>
    <t>80450</t>
  </si>
  <si>
    <t>Субсидии юридическим лицам (кроме некоммерческих организаций), индивидуальным предпринимателям, физическим лицам</t>
  </si>
  <si>
    <t>Жилищно-коммунальное хозяйтсво</t>
  </si>
  <si>
    <t>29500</t>
  </si>
  <si>
    <t>94</t>
  </si>
  <si>
    <t>Разработка проектной документации</t>
  </si>
  <si>
    <t>29170</t>
  </si>
  <si>
    <t>Установка аншлагов на жилые дома</t>
  </si>
  <si>
    <t>Формирование современной городской среды в муниципальном образовании рабочий поселок Первомайский Щекинского района на 2018-2022 годы</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</si>
  <si>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</si>
  <si>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Мероприятие «Передача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</si>
  <si>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Расходы на обеспечение деятельности (оказание услуг) муниципальных учрежденийза счет иных межбюджетных трансфертов на компенсацию выпадающих доходов бюджетов муниципальных образований поселений Щекинского района в связи с предоставлением налоговой льготы для отдельных категорий налогоплательщиков в соответствии с пунктом 5 статьи 391 налогового кодекса Российской Федерации на 2018 год</t>
  </si>
  <si>
    <t>Муниципальная программа "Профессиональная подготовка, переподготовка, повышение квалификации муниципальных служащих и работников, замещающих должности, не отнесенные к должностям муниципальной службы, в администрации муниципального образования рабочий поселок Первомайский Щекинского района"</t>
  </si>
  <si>
    <t>15</t>
  </si>
  <si>
    <t>Профессиональная подготовка, переподготовка, повышение квалификации</t>
  </si>
  <si>
    <t>29460</t>
  </si>
  <si>
    <t>Расходы за счет переданных полномочий по организации досуга и обеспечения жителей поселения услугами организаций культуры в части обеспечения развития и укрепления материально-технической базы домов культуры в населенных пунктах с численностью жителей до 50 тысяч человек</t>
  </si>
  <si>
    <t>L4670</t>
  </si>
  <si>
    <t>S0120</t>
  </si>
  <si>
    <t>Премии и гранты</t>
  </si>
  <si>
    <t>Собрание депутатов МО р.п. Первомайский</t>
  </si>
  <si>
    <t>всего</t>
  </si>
  <si>
    <t>дох</t>
  </si>
  <si>
    <t>прог</t>
  </si>
  <si>
    <t>Исполнение
расходов бюджета муниципального образования рабочий поселок Первомайский Щекинского района по разделам, подразделам, целевым статьям, группам видов расходов классификации расходов бюджетов за 2018 год</t>
  </si>
  <si>
    <t>Исполнение расходов бюджета муниципального образования рабочий  поселок Первомайский Щекинского района по разделам и подразделам классификации расходов бюджетов за 2018 год</t>
  </si>
  <si>
    <t>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t>
  </si>
  <si>
    <t>Осуществление муниципального земельного контроля за использованием земель поселения</t>
  </si>
  <si>
    <t>Организация досуга и обеспечения жителей поселения услугами организаций культуры в части обеспечения развития и укрепления материально-технической базы домов культуры в населенных пунктах с численностью жителей до 50 тысяч человек</t>
  </si>
  <si>
    <t>Подпрограмма "Формирование современной городской среды в муниципальном образовании рабочий поселок Первомайский Щекинского района на 2018-2022 годы"</t>
  </si>
  <si>
    <t>Исполнение
бюджетных ассигнований на реализацию муниципальных целевых программ  по разделам, подразделам, целевым статьям и видам расходов классификации расходов бюджетов Российской Федерации, предусмотренных к финансированию из бюджета муниципального образования рабочий поселок Первомайский Щекинского района
за 2018 год</t>
  </si>
  <si>
    <t>Приложение 11</t>
  </si>
  <si>
    <t xml:space="preserve">(тыс. рублей) </t>
  </si>
  <si>
    <t>Источники формирования муниципального дорожного фонда</t>
  </si>
  <si>
    <t>Остаток средств фонда на 1 января очередного финансового года</t>
  </si>
  <si>
    <t>"Об исполнении бюджета муниципального образования</t>
  </si>
  <si>
    <t>рабочий поселок  Первомайский Щёкинского района за 2018 год"</t>
  </si>
  <si>
    <t>Исполнение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р.п. Первомайский по разделам, подразделам, целевым статьям, группам и подгруппам видов расходов классификации расходов бюджета муниципального образования рабочий поселок Первомайский Щекинского района за 2018 год</t>
  </si>
  <si>
    <t xml:space="preserve">Исполнение
источников финансирования дефицита бюджета муниципального образования рабочий поселок Первомайский Щекинского района по кодам классификации источников финансирования дефицитов бюджетов за 2018 год </t>
  </si>
  <si>
    <t xml:space="preserve">Исполнение 
источников финансирования дефицита муниципального образования рабочий поселок Первомайский Щекинского района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 за 2018 год </t>
  </si>
  <si>
    <t>доходов бюджета муниципального образования рабочий поселок Первомайский Щекинского района по кодам классификации доходов бюджетов</t>
  </si>
  <si>
    <t>Исполнение плана бюджетных ассигнований дорожного фонда муниципального образования рабочий поселок Первомайский Щекинского района за 2018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</si>
</sst>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9" formatCode="_-* #,##0_р_._-;\-* #,##0_р_._-;_-* &quot;-&quot;_р_._-;_-@_-"/>
    <numFmt numFmtId="171" formatCode="_-* #,##0.00_р_._-;\-* #,##0.00_р_._-;_-* &quot;-&quot;??_р_._-;_-@_-"/>
    <numFmt numFmtId="177" formatCode="#,##0.0"/>
    <numFmt numFmtId="182" formatCode="00"/>
    <numFmt numFmtId="184" formatCode="000"/>
    <numFmt numFmtId="186" formatCode="0000"/>
    <numFmt numFmtId="187" formatCode="#,##0.0;[Red]\-#,##0.0;0.0"/>
    <numFmt numFmtId="188" formatCode="#,##0.0;[Red]\-#,##0.0"/>
  </numFmts>
  <fonts count="35">
    <font>
      <sz val="10"/>
      <name val="Arial"/>
      <family val="3"/>
      <charset val="204"/>
    </font>
    <font>
      <sz val="10"/>
      <name val="Arial Cyr"/>
      <charset val="204"/>
    </font>
    <font>
      <sz val="8"/>
      <name val="Arial"/>
      <family val="3"/>
      <charset val="204"/>
    </font>
    <font>
      <sz val="10"/>
      <name val="Arial"/>
      <family val="2"/>
      <charset val="204"/>
    </font>
    <font>
      <sz val="8"/>
      <color indexed="81"/>
      <name val="Tahoma"/>
      <family val="2"/>
      <charset val="204"/>
    </font>
    <font>
      <b/>
      <sz val="8"/>
      <color indexed="81"/>
      <name val="Tahoma"/>
      <family val="2"/>
      <charset val="204"/>
    </font>
    <font>
      <sz val="10"/>
      <name val="Tahoma"/>
      <family val="2"/>
      <charset val="204"/>
    </font>
    <font>
      <b/>
      <sz val="10"/>
      <name val="Tahoma"/>
      <family val="2"/>
      <charset val="204"/>
    </font>
    <font>
      <sz val="10"/>
      <name val="Times New Roman"/>
      <family val="1"/>
      <charset val="204"/>
    </font>
    <font>
      <sz val="11"/>
      <name val="Times New Roman"/>
      <family val="1"/>
      <charset val="204"/>
    </font>
    <font>
      <b/>
      <sz val="11"/>
      <name val="Times New Roman"/>
      <family val="1"/>
      <charset val="204"/>
    </font>
    <font>
      <b/>
      <sz val="10"/>
      <name val="Times New Roman"/>
      <family val="1"/>
      <charset val="204"/>
    </font>
    <font>
      <b/>
      <sz val="14"/>
      <name val="Times New Roman"/>
      <family val="1"/>
      <charset val="204"/>
    </font>
    <font>
      <i/>
      <sz val="11"/>
      <name val="Times New Roman"/>
      <family val="1"/>
      <charset val="204"/>
    </font>
    <font>
      <i/>
      <sz val="10"/>
      <name val="Times New Roman"/>
      <family val="1"/>
      <charset val="204"/>
    </font>
    <font>
      <sz val="10"/>
      <name val="Arial"/>
      <family val="2"/>
      <charset val="204"/>
    </font>
    <font>
      <sz val="12"/>
      <name val="Times New Roman"/>
      <family val="1"/>
      <charset val="204"/>
    </font>
    <font>
      <b/>
      <sz val="12"/>
      <name val="Times New Roman"/>
      <family val="1"/>
      <charset val="204"/>
    </font>
    <font>
      <sz val="10"/>
      <name val="Times New Roman CYR"/>
      <family val="1"/>
      <charset val="204"/>
    </font>
    <font>
      <sz val="12"/>
      <name val="Traditional Arabic"/>
      <family val="1"/>
    </font>
    <font>
      <sz val="12"/>
      <name val="Times New Roman Cyr"/>
      <charset val="204"/>
    </font>
    <font>
      <sz val="12"/>
      <name val="Times New Roman Cyr"/>
      <family val="1"/>
      <charset val="204"/>
    </font>
    <font>
      <b/>
      <sz val="12"/>
      <name val="Times New Roman Cyr"/>
      <family val="1"/>
      <charset val="204"/>
    </font>
    <font>
      <b/>
      <sz val="12"/>
      <name val="Times New Roman Cyr"/>
      <charset val="204"/>
    </font>
    <font>
      <b/>
      <sz val="11"/>
      <name val="Times New Roman Cyr"/>
      <family val="1"/>
      <charset val="204"/>
    </font>
    <font>
      <sz val="11"/>
      <name val="Times New Roman Cyr"/>
      <charset val="204"/>
    </font>
    <font>
      <b/>
      <sz val="11"/>
      <name val="Times New Roman Cyr"/>
      <charset val="204"/>
    </font>
    <font>
      <sz val="14"/>
      <name val="Times New Roman"/>
      <family val="1"/>
      <charset val="204"/>
    </font>
    <font>
      <sz val="12"/>
      <name val="Arial"/>
      <family val="3"/>
      <charset val="204"/>
    </font>
    <font>
      <i/>
      <sz val="12"/>
      <name val="Times New Roman"/>
      <family val="1"/>
      <charset val="204"/>
    </font>
    <font>
      <sz val="10"/>
      <color indexed="62"/>
      <name val="Times New Roman"/>
      <family val="1"/>
      <charset val="204"/>
    </font>
    <font>
      <sz val="12"/>
      <name val="Arial"/>
      <family val="2"/>
      <charset val="204"/>
    </font>
    <font>
      <i/>
      <sz val="10"/>
      <name val="Arial Cyr"/>
      <charset val="204"/>
    </font>
    <font>
      <b/>
      <sz val="10"/>
      <name val="Arial Cyr"/>
      <charset val="204"/>
    </font>
    <font>
      <sz val="12"/>
      <name val="Arial Cyr"/>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7">
    <border>
      <left/>
      <right/>
      <top/>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1">
    <xf numFmtId="0" fontId="0" fillId="0" borderId="0"/>
    <xf numFmtId="0" fontId="3" fillId="0" borderId="0"/>
    <xf numFmtId="0" fontId="3" fillId="0" borderId="0"/>
    <xf numFmtId="0" fontId="3" fillId="0" borderId="0"/>
    <xf numFmtId="0" fontId="1" fillId="0" borderId="0"/>
    <xf numFmtId="0" fontId="15" fillId="0" borderId="0"/>
    <xf numFmtId="0" fontId="1" fillId="0" borderId="0"/>
    <xf numFmtId="0" fontId="1" fillId="0" borderId="0"/>
    <xf numFmtId="49" fontId="30" fillId="2" borderId="1">
      <alignment horizontal="left" vertical="top" wrapText="1"/>
    </xf>
    <xf numFmtId="169" fontId="1" fillId="0" borderId="0" applyFont="0" applyFill="0" applyBorder="0" applyAlignment="0" applyProtection="0"/>
    <xf numFmtId="171" fontId="1" fillId="0" borderId="0" applyFont="0" applyFill="0" applyBorder="0" applyAlignment="0" applyProtection="0"/>
  </cellStyleXfs>
  <cellXfs count="266">
    <xf numFmtId="0" fontId="0" fillId="0" borderId="0" xfId="0"/>
    <xf numFmtId="0" fontId="6" fillId="0" borderId="0" xfId="0" applyFont="1"/>
    <xf numFmtId="0" fontId="6" fillId="0" borderId="0" xfId="0" applyFont="1" applyFill="1"/>
    <xf numFmtId="0" fontId="8" fillId="0" borderId="0" xfId="0" applyFont="1"/>
    <xf numFmtId="0" fontId="8" fillId="0" borderId="0" xfId="0" applyFont="1" applyAlignment="1">
      <alignment horizontal="right"/>
    </xf>
    <xf numFmtId="0" fontId="8" fillId="0" borderId="0" xfId="0" applyFont="1" applyAlignment="1">
      <alignment horizontal="center"/>
    </xf>
    <xf numFmtId="177" fontId="8" fillId="0" borderId="0" xfId="0" applyNumberFormat="1" applyFont="1" applyAlignment="1"/>
    <xf numFmtId="0" fontId="11" fillId="0" borderId="0" xfId="0" applyFont="1"/>
    <xf numFmtId="0" fontId="9" fillId="0" borderId="2" xfId="0" applyFont="1" applyFill="1" applyBorder="1" applyAlignment="1">
      <alignment horizontal="center" textRotation="90" wrapText="1"/>
    </xf>
    <xf numFmtId="0" fontId="9" fillId="0" borderId="0" xfId="0" applyFont="1" applyFill="1"/>
    <xf numFmtId="0" fontId="9" fillId="0" borderId="0" xfId="0" applyFont="1"/>
    <xf numFmtId="0" fontId="9" fillId="0" borderId="0" xfId="0" applyFont="1" applyAlignment="1">
      <alignment horizontal="center"/>
    </xf>
    <xf numFmtId="49" fontId="9" fillId="0" borderId="0" xfId="0" applyNumberFormat="1" applyFont="1" applyAlignment="1">
      <alignment horizontal="center"/>
    </xf>
    <xf numFmtId="0" fontId="9" fillId="0" borderId="2" xfId="0" applyFont="1" applyFill="1" applyBorder="1" applyAlignment="1">
      <alignment horizontal="center" vertical="center" wrapText="1"/>
    </xf>
    <xf numFmtId="0" fontId="9" fillId="4" borderId="0" xfId="0" applyFont="1" applyFill="1"/>
    <xf numFmtId="49" fontId="6" fillId="0" borderId="0" xfId="0" applyNumberFormat="1" applyFont="1" applyFill="1"/>
    <xf numFmtId="0" fontId="9" fillId="0" borderId="0" xfId="0" applyFont="1" applyFill="1" applyBorder="1" applyAlignment="1">
      <alignment vertical="center" wrapText="1"/>
    </xf>
    <xf numFmtId="49" fontId="9" fillId="0" borderId="0" xfId="0" applyNumberFormat="1" applyFont="1" applyFill="1" applyBorder="1" applyAlignment="1">
      <alignment vertical="center" wrapText="1"/>
    </xf>
    <xf numFmtId="0" fontId="13" fillId="0" borderId="0" xfId="0" applyFont="1"/>
    <xf numFmtId="0" fontId="14" fillId="0" borderId="0" xfId="0" applyFont="1"/>
    <xf numFmtId="0" fontId="8" fillId="0" borderId="0" xfId="0" applyFont="1" applyFill="1" applyAlignment="1">
      <alignment horizontal="right"/>
    </xf>
    <xf numFmtId="177" fontId="9" fillId="0" borderId="0" xfId="0" applyNumberFormat="1" applyFont="1" applyFill="1" applyAlignment="1"/>
    <xf numFmtId="0" fontId="3" fillId="0" borderId="0" xfId="2"/>
    <xf numFmtId="0" fontId="9" fillId="0" borderId="0" xfId="2" applyFont="1" applyAlignment="1"/>
    <xf numFmtId="0" fontId="9" fillId="0" borderId="0" xfId="2" applyNumberFormat="1" applyFont="1" applyFill="1" applyAlignment="1" applyProtection="1">
      <alignment vertical="center"/>
      <protection hidden="1"/>
    </xf>
    <xf numFmtId="0" fontId="3" fillId="0" borderId="0" xfId="2" applyProtection="1">
      <protection hidden="1"/>
    </xf>
    <xf numFmtId="0" fontId="10" fillId="0" borderId="0" xfId="2" applyNumberFormat="1" applyFont="1" applyFill="1" applyAlignment="1" applyProtection="1">
      <alignment horizontal="center" vertical="center" wrapText="1"/>
      <protection hidden="1"/>
    </xf>
    <xf numFmtId="0" fontId="12" fillId="0" borderId="3" xfId="2" applyNumberFormat="1" applyFont="1" applyFill="1" applyBorder="1" applyAlignment="1" applyProtection="1">
      <alignment horizontal="center" vertical="center" wrapText="1"/>
      <protection hidden="1"/>
    </xf>
    <xf numFmtId="49" fontId="16" fillId="0" borderId="2" xfId="0" applyNumberFormat="1" applyFont="1" applyFill="1" applyBorder="1" applyAlignment="1">
      <alignment horizontal="center" textRotation="90" wrapText="1"/>
    </xf>
    <xf numFmtId="0" fontId="16" fillId="0" borderId="2" xfId="0" applyFont="1" applyFill="1" applyBorder="1" applyAlignment="1">
      <alignment horizontal="center" textRotation="90" wrapText="1"/>
    </xf>
    <xf numFmtId="0" fontId="3" fillId="0" borderId="0" xfId="2" applyAlignment="1" applyProtection="1">
      <alignment vertical="top"/>
      <protection hidden="1"/>
    </xf>
    <xf numFmtId="0" fontId="3" fillId="0" borderId="0" xfId="2" applyNumberFormat="1" applyFont="1" applyFill="1" applyAlignment="1" applyProtection="1">
      <alignment vertical="top"/>
      <protection hidden="1"/>
    </xf>
    <xf numFmtId="0" fontId="3" fillId="0" borderId="0" xfId="2" applyAlignment="1">
      <alignment vertical="top"/>
    </xf>
    <xf numFmtId="1" fontId="17" fillId="0" borderId="2" xfId="2" applyNumberFormat="1" applyFont="1" applyFill="1" applyBorder="1" applyAlignment="1" applyProtection="1">
      <alignment horizontal="center" vertical="center"/>
      <protection hidden="1"/>
    </xf>
    <xf numFmtId="182" fontId="17" fillId="0" borderId="2" xfId="2" applyNumberFormat="1" applyFont="1" applyFill="1" applyBorder="1" applyAlignment="1" applyProtection="1">
      <alignment horizontal="center" vertical="center"/>
      <protection hidden="1"/>
    </xf>
    <xf numFmtId="182" fontId="17" fillId="0" borderId="2" xfId="2" applyNumberFormat="1" applyFont="1" applyFill="1" applyBorder="1" applyAlignment="1" applyProtection="1">
      <alignment horizontal="right" vertical="center"/>
      <protection hidden="1"/>
    </xf>
    <xf numFmtId="186" fontId="17" fillId="0" borderId="2" xfId="2" applyNumberFormat="1" applyFont="1" applyFill="1" applyBorder="1" applyAlignment="1" applyProtection="1">
      <alignment horizontal="left" vertical="center"/>
      <protection hidden="1"/>
    </xf>
    <xf numFmtId="184" fontId="17" fillId="0" borderId="2" xfId="2" applyNumberFormat="1" applyFont="1" applyFill="1" applyBorder="1" applyAlignment="1" applyProtection="1">
      <alignment horizontal="center" vertical="center"/>
      <protection hidden="1"/>
    </xf>
    <xf numFmtId="187" fontId="17" fillId="0" borderId="2" xfId="2" applyNumberFormat="1" applyFont="1" applyFill="1" applyBorder="1" applyAlignment="1" applyProtection="1">
      <alignment horizontal="right" vertical="center"/>
      <protection hidden="1"/>
    </xf>
    <xf numFmtId="182" fontId="16" fillId="0" borderId="2" xfId="2" applyNumberFormat="1" applyFont="1" applyFill="1" applyBorder="1" applyAlignment="1" applyProtection="1">
      <alignment horizontal="center" vertical="center"/>
      <protection hidden="1"/>
    </xf>
    <xf numFmtId="1" fontId="16" fillId="0" borderId="2" xfId="0" applyNumberFormat="1" applyFont="1" applyFill="1" applyBorder="1" applyAlignment="1">
      <alignment horizontal="justify" wrapText="1"/>
    </xf>
    <xf numFmtId="49" fontId="16" fillId="0" borderId="2" xfId="0" applyNumberFormat="1" applyFont="1" applyFill="1" applyBorder="1" applyAlignment="1">
      <alignment horizontal="center" wrapText="1"/>
    </xf>
    <xf numFmtId="1" fontId="16" fillId="0" borderId="2" xfId="0" applyNumberFormat="1" applyFont="1" applyFill="1" applyBorder="1" applyAlignment="1">
      <alignment horizontal="center" wrapText="1"/>
    </xf>
    <xf numFmtId="187" fontId="16" fillId="0" borderId="2" xfId="2" applyNumberFormat="1" applyFont="1" applyFill="1" applyBorder="1" applyAlignment="1" applyProtection="1">
      <alignment horizontal="right" vertical="center"/>
      <protection hidden="1"/>
    </xf>
    <xf numFmtId="0" fontId="3" fillId="0" borderId="0" xfId="2" applyFont="1" applyProtection="1">
      <protection hidden="1"/>
    </xf>
    <xf numFmtId="0" fontId="3" fillId="0" borderId="0" xfId="2" applyFont="1"/>
    <xf numFmtId="0" fontId="16" fillId="0" borderId="2" xfId="1" applyNumberFormat="1" applyFont="1" applyFill="1" applyBorder="1" applyAlignment="1" applyProtection="1">
      <alignment horizontal="justify" wrapText="1"/>
      <protection hidden="1"/>
    </xf>
    <xf numFmtId="182" fontId="16" fillId="0" borderId="2" xfId="2" applyNumberFormat="1" applyFont="1" applyFill="1" applyBorder="1" applyAlignment="1" applyProtection="1">
      <alignment horizontal="right" vertical="center"/>
      <protection hidden="1"/>
    </xf>
    <xf numFmtId="1" fontId="16" fillId="0" borderId="2" xfId="2" applyNumberFormat="1" applyFont="1" applyFill="1" applyBorder="1" applyAlignment="1" applyProtection="1">
      <alignment horizontal="center" vertical="center"/>
      <protection hidden="1"/>
    </xf>
    <xf numFmtId="186" fontId="16" fillId="0" borderId="2" xfId="2" applyNumberFormat="1" applyFont="1" applyFill="1" applyBorder="1" applyAlignment="1" applyProtection="1">
      <alignment horizontal="left" vertical="center"/>
      <protection hidden="1"/>
    </xf>
    <xf numFmtId="184" fontId="16" fillId="0" borderId="2" xfId="2" applyNumberFormat="1" applyFont="1" applyFill="1" applyBorder="1" applyAlignment="1" applyProtection="1">
      <alignment horizontal="center" vertical="center"/>
      <protection hidden="1"/>
    </xf>
    <xf numFmtId="49" fontId="17" fillId="0" borderId="2" xfId="2" applyNumberFormat="1" applyFont="1" applyFill="1" applyBorder="1" applyAlignment="1" applyProtection="1">
      <alignment horizontal="left" vertical="center"/>
      <protection hidden="1"/>
    </xf>
    <xf numFmtId="186" fontId="17" fillId="0" borderId="2" xfId="2" applyNumberFormat="1" applyFont="1" applyFill="1" applyBorder="1" applyAlignment="1" applyProtection="1">
      <alignment horizontal="center" vertical="center"/>
      <protection hidden="1"/>
    </xf>
    <xf numFmtId="0" fontId="17" fillId="0" borderId="0" xfId="2" applyNumberFormat="1" applyFont="1" applyFill="1" applyAlignment="1" applyProtection="1">
      <protection hidden="1"/>
    </xf>
    <xf numFmtId="0" fontId="17" fillId="0" borderId="0" xfId="2" applyNumberFormat="1" applyFont="1" applyFill="1" applyAlignment="1" applyProtection="1">
      <alignment horizontal="right"/>
      <protection hidden="1"/>
    </xf>
    <xf numFmtId="0" fontId="9" fillId="0" borderId="0" xfId="0" applyNumberFormat="1" applyFont="1" applyAlignment="1"/>
    <xf numFmtId="0" fontId="9" fillId="0" borderId="0" xfId="0" applyFont="1" applyAlignment="1">
      <alignment horizontal="right"/>
    </xf>
    <xf numFmtId="0" fontId="0" fillId="0" borderId="0" xfId="0" applyFont="1" applyAlignment="1">
      <alignment horizontal="center"/>
    </xf>
    <xf numFmtId="0" fontId="1" fillId="0" borderId="0" xfId="4" applyFill="1"/>
    <xf numFmtId="0" fontId="8" fillId="0" borderId="0" xfId="4" applyFont="1" applyFill="1"/>
    <xf numFmtId="0" fontId="18" fillId="0" borderId="0" xfId="4" applyNumberFormat="1" applyFont="1" applyFill="1"/>
    <xf numFmtId="0" fontId="1" fillId="0" borderId="0" xfId="4" applyFill="1" applyAlignment="1">
      <alignment wrapText="1"/>
    </xf>
    <xf numFmtId="0" fontId="1" fillId="0" borderId="0" xfId="4" applyFont="1" applyFill="1"/>
    <xf numFmtId="0" fontId="8" fillId="0" borderId="0" xfId="4" applyFont="1" applyFill="1" applyAlignment="1">
      <alignment horizontal="right"/>
    </xf>
    <xf numFmtId="0" fontId="8" fillId="0" borderId="0" xfId="4" applyFont="1" applyFill="1" applyAlignment="1">
      <alignment horizontal="center" wrapText="1"/>
    </xf>
    <xf numFmtId="0" fontId="8" fillId="0" borderId="0" xfId="0" applyFont="1" applyAlignment="1">
      <alignment wrapText="1"/>
    </xf>
    <xf numFmtId="0" fontId="19" fillId="0" borderId="0" xfId="0" applyFont="1"/>
    <xf numFmtId="0" fontId="19" fillId="0" borderId="0" xfId="0" applyFont="1" applyAlignment="1">
      <alignment horizontal="right"/>
    </xf>
    <xf numFmtId="0" fontId="19" fillId="0" borderId="0" xfId="0" applyNumberFormat="1" applyFont="1"/>
    <xf numFmtId="0" fontId="16" fillId="0" borderId="0" xfId="0" applyFont="1" applyAlignment="1">
      <alignment horizontal="justify" wrapText="1"/>
    </xf>
    <xf numFmtId="0" fontId="16" fillId="0" borderId="0" xfId="0" applyFont="1" applyAlignment="1">
      <alignment horizontal="right"/>
    </xf>
    <xf numFmtId="0" fontId="9" fillId="0" borderId="2" xfId="0" applyFont="1" applyBorder="1"/>
    <xf numFmtId="0" fontId="16" fillId="4" borderId="2" xfId="0" applyFont="1" applyFill="1" applyBorder="1" applyAlignment="1" applyProtection="1">
      <alignment horizontal="center" vertical="top" wrapText="1"/>
      <protection locked="0"/>
    </xf>
    <xf numFmtId="49" fontId="8" fillId="0" borderId="0" xfId="4" applyNumberFormat="1" applyFont="1" applyFill="1"/>
    <xf numFmtId="49" fontId="1" fillId="0" borderId="0" xfId="4" applyNumberFormat="1" applyFill="1"/>
    <xf numFmtId="49" fontId="8" fillId="0" borderId="0" xfId="4" applyNumberFormat="1" applyFont="1" applyFill="1" applyAlignment="1">
      <alignment horizontal="center" wrapText="1"/>
    </xf>
    <xf numFmtId="49" fontId="16" fillId="4" borderId="2" xfId="0" applyNumberFormat="1" applyFont="1" applyFill="1" applyBorder="1" applyAlignment="1" applyProtection="1">
      <alignment horizontal="center" vertical="top" wrapText="1"/>
      <protection locked="0"/>
    </xf>
    <xf numFmtId="0" fontId="17" fillId="0" borderId="2" xfId="4" applyFont="1" applyFill="1" applyBorder="1" applyAlignment="1">
      <alignment wrapText="1"/>
    </xf>
    <xf numFmtId="0" fontId="16" fillId="0" borderId="2" xfId="4" applyFont="1" applyFill="1" applyBorder="1" applyAlignment="1">
      <alignment wrapText="1"/>
    </xf>
    <xf numFmtId="49" fontId="17" fillId="0" borderId="2" xfId="4" applyNumberFormat="1" applyFont="1" applyFill="1" applyBorder="1"/>
    <xf numFmtId="177" fontId="17" fillId="0" borderId="2" xfId="4" applyNumberFormat="1" applyFont="1" applyFill="1" applyBorder="1"/>
    <xf numFmtId="0" fontId="16" fillId="0" borderId="2" xfId="4" applyFont="1" applyFill="1" applyBorder="1" applyAlignment="1">
      <alignment horizontal="center" wrapText="1"/>
    </xf>
    <xf numFmtId="177" fontId="16" fillId="0" borderId="2" xfId="4" applyNumberFormat="1" applyFont="1" applyFill="1" applyBorder="1"/>
    <xf numFmtId="49" fontId="16" fillId="0" borderId="2" xfId="4" applyNumberFormat="1" applyFont="1" applyFill="1" applyBorder="1" applyAlignment="1">
      <alignment horizontal="center"/>
    </xf>
    <xf numFmtId="0" fontId="16" fillId="0" borderId="2" xfId="4" quotePrefix="1" applyFont="1" applyFill="1" applyBorder="1" applyAlignment="1">
      <alignment horizontal="center" wrapText="1"/>
    </xf>
    <xf numFmtId="0" fontId="21" fillId="0" borderId="2" xfId="4" applyFont="1" applyFill="1" applyBorder="1" applyAlignment="1">
      <alignment horizontal="center" wrapText="1"/>
    </xf>
    <xf numFmtId="0" fontId="17" fillId="0" borderId="2" xfId="4" applyFont="1" applyFill="1" applyBorder="1" applyAlignment="1">
      <alignment horizontal="center" wrapText="1"/>
    </xf>
    <xf numFmtId="49" fontId="17" fillId="0" borderId="2" xfId="4" applyNumberFormat="1" applyFont="1" applyFill="1" applyBorder="1" applyAlignment="1">
      <alignment horizontal="center"/>
    </xf>
    <xf numFmtId="0" fontId="22" fillId="0" borderId="2" xfId="4" applyFont="1" applyFill="1" applyBorder="1" applyAlignment="1">
      <alignment horizontal="center" wrapText="1"/>
    </xf>
    <xf numFmtId="0" fontId="20" fillId="0" borderId="2" xfId="4" applyNumberFormat="1" applyFont="1" applyFill="1" applyBorder="1" applyAlignment="1">
      <alignment horizontal="center" wrapText="1"/>
    </xf>
    <xf numFmtId="0" fontId="16" fillId="0" borderId="2" xfId="4" applyFont="1" applyFill="1" applyBorder="1" applyAlignment="1">
      <alignment horizontal="justify" wrapText="1"/>
    </xf>
    <xf numFmtId="0" fontId="16" fillId="0" borderId="2" xfId="4" quotePrefix="1" applyFont="1" applyFill="1" applyBorder="1" applyAlignment="1">
      <alignment horizontal="justify" wrapText="1"/>
    </xf>
    <xf numFmtId="0" fontId="17" fillId="0" borderId="2" xfId="4" applyFont="1" applyFill="1" applyBorder="1" applyAlignment="1">
      <alignment horizontal="justify" wrapText="1"/>
    </xf>
    <xf numFmtId="0" fontId="20" fillId="0" borderId="2" xfId="4" applyNumberFormat="1" applyFont="1" applyFill="1" applyBorder="1" applyAlignment="1">
      <alignment horizontal="justify" wrapText="1"/>
    </xf>
    <xf numFmtId="0" fontId="20" fillId="0" borderId="4" xfId="4" applyNumberFormat="1" applyFont="1" applyFill="1" applyBorder="1" applyAlignment="1">
      <alignment horizontal="justify" wrapTex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21" fillId="0" borderId="2" xfId="4" applyFont="1" applyFill="1" applyBorder="1" applyAlignment="1">
      <alignment horizontal="justify" wrapText="1"/>
    </xf>
    <xf numFmtId="0" fontId="22" fillId="0" borderId="2" xfId="4" applyNumberFormat="1" applyFont="1" applyFill="1" applyBorder="1" applyAlignment="1">
      <alignment horizontal="justify" wrapText="1"/>
    </xf>
    <xf numFmtId="0" fontId="23" fillId="0" borderId="2" xfId="4" applyNumberFormat="1" applyFont="1" applyFill="1" applyBorder="1" applyAlignment="1">
      <alignment horizontal="justify" wrapText="1"/>
    </xf>
    <xf numFmtId="0" fontId="23" fillId="0" borderId="2" xfId="10" applyNumberFormat="1" applyFont="1" applyFill="1" applyBorder="1" applyAlignment="1">
      <alignment horizontal="justify" wrapText="1"/>
    </xf>
    <xf numFmtId="0" fontId="10" fillId="0" borderId="2" xfId="4" applyFont="1" applyFill="1" applyBorder="1" applyAlignment="1">
      <alignment wrapText="1"/>
    </xf>
    <xf numFmtId="0" fontId="9" fillId="0" borderId="2" xfId="4" applyFont="1" applyFill="1" applyBorder="1" applyAlignment="1">
      <alignment wrapText="1"/>
    </xf>
    <xf numFmtId="0" fontId="24" fillId="0" borderId="2" xfId="4" applyNumberFormat="1" applyFont="1" applyFill="1" applyBorder="1" applyAlignment="1">
      <alignment horizontal="center"/>
    </xf>
    <xf numFmtId="0" fontId="25" fillId="0" borderId="2" xfId="4" applyNumberFormat="1" applyFont="1" applyFill="1" applyBorder="1" applyAlignment="1">
      <alignment horizontal="center"/>
    </xf>
    <xf numFmtId="0" fontId="25" fillId="0" borderId="5" xfId="4" applyNumberFormat="1" applyFont="1" applyFill="1" applyBorder="1" applyAlignment="1">
      <alignment horizontal="center"/>
    </xf>
    <xf numFmtId="0" fontId="26" fillId="0" borderId="2" xfId="4" applyNumberFormat="1" applyFont="1" applyFill="1" applyBorder="1" applyAlignment="1">
      <alignment horizontal="center"/>
    </xf>
    <xf numFmtId="0" fontId="25" fillId="0" borderId="2" xfId="4" applyNumberFormat="1" applyFont="1" applyFill="1" applyBorder="1" applyAlignment="1">
      <alignment horizontal="center" wrapText="1"/>
    </xf>
    <xf numFmtId="0" fontId="25" fillId="0" borderId="5" xfId="4" applyNumberFormat="1" applyFont="1" applyFill="1" applyBorder="1" applyAlignment="1">
      <alignment horizontal="center" wrapText="1"/>
    </xf>
    <xf numFmtId="0" fontId="25" fillId="0" borderId="4" xfId="4" applyNumberFormat="1" applyFont="1" applyFill="1" applyBorder="1" applyAlignment="1">
      <alignment horizontal="center"/>
    </xf>
    <xf numFmtId="0" fontId="26" fillId="0" borderId="4" xfId="4" applyNumberFormat="1" applyFont="1" applyFill="1" applyBorder="1" applyAlignment="1">
      <alignment horizontal="center"/>
    </xf>
    <xf numFmtId="177" fontId="17" fillId="0" borderId="2" xfId="0" applyNumberFormat="1" applyFont="1" applyFill="1" applyBorder="1" applyAlignment="1">
      <alignment horizontal="right" vertical="center" wrapText="1"/>
    </xf>
    <xf numFmtId="0" fontId="17"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horizontal="justify"/>
    </xf>
    <xf numFmtId="0" fontId="16" fillId="0" borderId="2" xfId="0" applyFont="1" applyFill="1" applyBorder="1" applyAlignment="1">
      <alignment horizontal="center" vertical="center" wrapText="1"/>
    </xf>
    <xf numFmtId="0" fontId="8" fillId="0" borderId="0" xfId="1" applyFont="1" applyFill="1"/>
    <xf numFmtId="0" fontId="27" fillId="0" borderId="0" xfId="1" applyFont="1" applyFill="1" applyProtection="1">
      <protection hidden="1"/>
    </xf>
    <xf numFmtId="0" fontId="16" fillId="0" borderId="2" xfId="1" applyNumberFormat="1" applyFont="1" applyFill="1" applyBorder="1" applyAlignment="1" applyProtection="1">
      <alignment horizontal="center" vertical="top" wrapText="1"/>
      <protection hidden="1"/>
    </xf>
    <xf numFmtId="0" fontId="8" fillId="0" borderId="0" xfId="1" applyFont="1" applyFill="1" applyAlignment="1">
      <alignment vertical="top"/>
    </xf>
    <xf numFmtId="182" fontId="16" fillId="0" borderId="2" xfId="1" applyNumberFormat="1" applyFont="1" applyFill="1" applyBorder="1" applyAlignment="1" applyProtection="1">
      <protection hidden="1"/>
    </xf>
    <xf numFmtId="188" fontId="16" fillId="0" borderId="2" xfId="1" applyNumberFormat="1" applyFont="1" applyFill="1" applyBorder="1" applyAlignment="1" applyProtection="1">
      <protection hidden="1"/>
    </xf>
    <xf numFmtId="0" fontId="8" fillId="0" borderId="0" xfId="1" applyFont="1" applyFill="1" applyProtection="1">
      <protection hidden="1"/>
    </xf>
    <xf numFmtId="0" fontId="17" fillId="0" borderId="0" xfId="1" applyNumberFormat="1" applyFont="1" applyFill="1" applyAlignment="1" applyProtection="1">
      <protection hidden="1"/>
    </xf>
    <xf numFmtId="0" fontId="12" fillId="0" borderId="0" xfId="0" applyFont="1" applyFill="1" applyAlignment="1">
      <alignment wrapText="1"/>
    </xf>
    <xf numFmtId="0" fontId="8" fillId="0" borderId="0" xfId="0" applyFont="1" applyFill="1"/>
    <xf numFmtId="177" fontId="8" fillId="0" borderId="0" xfId="0" applyNumberFormat="1" applyFont="1" applyFill="1" applyBorder="1" applyAlignment="1"/>
    <xf numFmtId="0" fontId="16" fillId="0" borderId="2" xfId="2" applyNumberFormat="1" applyFont="1" applyFill="1" applyBorder="1" applyAlignment="1" applyProtection="1">
      <alignment horizontal="center" wrapText="1"/>
      <protection hidden="1"/>
    </xf>
    <xf numFmtId="0" fontId="16" fillId="0" borderId="2" xfId="2" applyNumberFormat="1" applyFont="1" applyFill="1" applyBorder="1" applyAlignment="1" applyProtection="1">
      <alignment horizontal="center"/>
      <protection hidden="1"/>
    </xf>
    <xf numFmtId="182" fontId="17" fillId="0" borderId="2" xfId="2" applyNumberFormat="1" applyFont="1" applyFill="1" applyBorder="1" applyAlignment="1" applyProtection="1">
      <alignment horizontal="justify" vertical="center" wrapText="1"/>
      <protection hidden="1"/>
    </xf>
    <xf numFmtId="0" fontId="16" fillId="0" borderId="3" xfId="2" applyNumberFormat="1" applyFont="1" applyFill="1" applyBorder="1" applyAlignment="1" applyProtection="1">
      <alignment horizontal="right"/>
      <protection hidden="1"/>
    </xf>
    <xf numFmtId="0" fontId="16" fillId="0" borderId="2" xfId="0" applyFont="1" applyFill="1" applyBorder="1" applyAlignment="1">
      <alignment vertical="top" wrapText="1"/>
    </xf>
    <xf numFmtId="0" fontId="16" fillId="0" borderId="2" xfId="0" applyFont="1" applyFill="1" applyBorder="1" applyAlignment="1">
      <alignment horizontal="center" vertical="top" wrapText="1"/>
    </xf>
    <xf numFmtId="0" fontId="17" fillId="0" borderId="2" xfId="0" applyFont="1" applyFill="1" applyBorder="1" applyAlignment="1" applyProtection="1">
      <alignment vertical="center" wrapText="1"/>
      <protection locked="0"/>
    </xf>
    <xf numFmtId="0" fontId="17" fillId="3" borderId="2" xfId="0" applyFont="1" applyFill="1" applyBorder="1" applyAlignment="1">
      <alignment horizontal="left" wrapText="1"/>
    </xf>
    <xf numFmtId="177" fontId="17" fillId="3" borderId="2" xfId="9" applyNumberFormat="1" applyFont="1" applyFill="1" applyBorder="1" applyAlignment="1"/>
    <xf numFmtId="0" fontId="16" fillId="0" borderId="2" xfId="0" applyFont="1" applyFill="1" applyBorder="1" applyAlignment="1" applyProtection="1">
      <alignment vertical="center" wrapText="1"/>
      <protection locked="0"/>
    </xf>
    <xf numFmtId="177" fontId="16" fillId="0" borderId="2" xfId="0" applyNumberFormat="1" applyFont="1" applyFill="1" applyBorder="1" applyAlignment="1" applyProtection="1">
      <alignment vertical="center" wrapText="1"/>
      <protection locked="0"/>
    </xf>
    <xf numFmtId="0" fontId="16" fillId="3" borderId="2" xfId="0" applyFont="1" applyFill="1" applyBorder="1" applyAlignment="1">
      <alignment horizontal="left" wrapText="1"/>
    </xf>
    <xf numFmtId="177" fontId="16" fillId="3" borderId="2" xfId="9" applyNumberFormat="1" applyFont="1" applyFill="1" applyBorder="1" applyAlignment="1"/>
    <xf numFmtId="177" fontId="29" fillId="3" borderId="2" xfId="9" applyNumberFormat="1" applyFont="1" applyFill="1" applyBorder="1" applyAlignment="1"/>
    <xf numFmtId="0" fontId="16" fillId="3" borderId="2" xfId="0" applyFont="1" applyFill="1" applyBorder="1" applyAlignment="1">
      <alignment horizontal="center" wrapText="1"/>
    </xf>
    <xf numFmtId="177" fontId="17" fillId="0" borderId="2" xfId="0" applyNumberFormat="1" applyFont="1" applyBorder="1"/>
    <xf numFmtId="0" fontId="17" fillId="0" borderId="2" xfId="0" applyFont="1" applyBorder="1" applyAlignment="1">
      <alignment horizontal="center"/>
    </xf>
    <xf numFmtId="177" fontId="17" fillId="0" borderId="2" xfId="0" applyNumberFormat="1" applyFont="1" applyFill="1" applyBorder="1" applyAlignment="1" applyProtection="1">
      <alignment wrapText="1"/>
      <protection locked="0"/>
    </xf>
    <xf numFmtId="0" fontId="9" fillId="0" borderId="0" xfId="0" applyFont="1" applyFill="1" applyBorder="1" applyAlignment="1">
      <alignment horizontal="right" wrapText="1"/>
    </xf>
    <xf numFmtId="49" fontId="16" fillId="0" borderId="2" xfId="4" applyNumberFormat="1" applyFont="1" applyFill="1" applyBorder="1" applyAlignment="1">
      <alignment horizontal="center" wrapText="1"/>
    </xf>
    <xf numFmtId="0" fontId="17" fillId="3" borderId="2" xfId="0" applyFont="1" applyFill="1" applyBorder="1" applyAlignment="1">
      <alignment horizontal="justify" wrapText="1"/>
    </xf>
    <xf numFmtId="0" fontId="16" fillId="3" borderId="2" xfId="0" applyFont="1" applyFill="1" applyBorder="1" applyAlignment="1">
      <alignment horizontal="justify" wrapText="1"/>
    </xf>
    <xf numFmtId="0" fontId="17" fillId="0" borderId="2" xfId="0" applyFont="1" applyFill="1" applyBorder="1" applyAlignment="1" applyProtection="1">
      <alignment horizontal="justify" vertical="center" wrapText="1"/>
      <protection locked="0"/>
    </xf>
    <xf numFmtId="0" fontId="10" fillId="0" borderId="0" xfId="0" applyFont="1" applyFill="1" applyAlignment="1">
      <alignment wrapText="1"/>
    </xf>
    <xf numFmtId="177" fontId="9" fillId="0" borderId="0" xfId="0" applyNumberFormat="1" applyFont="1" applyFill="1" applyBorder="1" applyAlignment="1"/>
    <xf numFmtId="0" fontId="9" fillId="0" borderId="0" xfId="0" applyFont="1" applyFill="1" applyAlignment="1">
      <alignment horizontal="right"/>
    </xf>
    <xf numFmtId="177" fontId="9" fillId="0" borderId="2" xfId="8" applyNumberFormat="1" applyFont="1" applyFill="1" applyBorder="1" applyAlignment="1">
      <alignment horizontal="center" vertical="center" wrapText="1"/>
    </xf>
    <xf numFmtId="0" fontId="31" fillId="0" borderId="0" xfId="2" applyFont="1" applyProtection="1">
      <protection hidden="1"/>
    </xf>
    <xf numFmtId="0" fontId="31" fillId="0" borderId="0" xfId="2" applyFont="1"/>
    <xf numFmtId="2" fontId="16" fillId="0" borderId="6" xfId="1" applyNumberFormat="1" applyFont="1" applyFill="1" applyBorder="1" applyAlignment="1" applyProtection="1">
      <alignment horizontal="justify" vertical="center" wrapText="1"/>
      <protection hidden="1"/>
    </xf>
    <xf numFmtId="49" fontId="16" fillId="0" borderId="6" xfId="1" applyNumberFormat="1" applyFont="1" applyFill="1" applyBorder="1" applyAlignment="1" applyProtection="1">
      <alignment horizontal="center" vertical="center" wrapText="1"/>
      <protection hidden="1"/>
    </xf>
    <xf numFmtId="0" fontId="16" fillId="0" borderId="6" xfId="1" applyNumberFormat="1" applyFont="1" applyFill="1" applyBorder="1" applyAlignment="1" applyProtection="1">
      <alignment horizontal="center" vertical="center" wrapText="1"/>
      <protection hidden="1"/>
    </xf>
    <xf numFmtId="184" fontId="16" fillId="0" borderId="6" xfId="1" applyNumberFormat="1" applyFont="1" applyFill="1" applyBorder="1" applyAlignment="1" applyProtection="1">
      <alignment horizontal="center" vertical="center" wrapText="1"/>
      <protection hidden="1"/>
    </xf>
    <xf numFmtId="182" fontId="16" fillId="0" borderId="6" xfId="1" applyNumberFormat="1" applyFont="1" applyFill="1" applyBorder="1" applyAlignment="1" applyProtection="1">
      <alignment horizontal="center" vertical="center" wrapText="1"/>
      <protection hidden="1"/>
    </xf>
    <xf numFmtId="187" fontId="16" fillId="0" borderId="6" xfId="1" applyNumberFormat="1" applyFont="1" applyFill="1" applyBorder="1" applyAlignment="1" applyProtection="1">
      <alignment vertical="center" wrapText="1"/>
      <protection hidden="1"/>
    </xf>
    <xf numFmtId="2" fontId="16" fillId="0" borderId="0" xfId="1" applyNumberFormat="1" applyFont="1" applyFill="1" applyBorder="1" applyAlignment="1" applyProtection="1">
      <alignment horizontal="justify" vertical="center" wrapText="1"/>
      <protection hidden="1"/>
    </xf>
    <xf numFmtId="49" fontId="16" fillId="0" borderId="0" xfId="1" applyNumberFormat="1" applyFont="1" applyFill="1" applyBorder="1" applyAlignment="1" applyProtection="1">
      <alignment horizontal="center" vertical="center" wrapText="1"/>
      <protection hidden="1"/>
    </xf>
    <xf numFmtId="0" fontId="16" fillId="0" borderId="0" xfId="1" applyNumberFormat="1" applyFont="1" applyFill="1" applyBorder="1" applyAlignment="1" applyProtection="1">
      <alignment horizontal="center" vertical="center" wrapText="1"/>
      <protection hidden="1"/>
    </xf>
    <xf numFmtId="184" fontId="16" fillId="0" borderId="0" xfId="1" applyNumberFormat="1" applyFont="1" applyFill="1" applyBorder="1" applyAlignment="1" applyProtection="1">
      <alignment horizontal="center" vertical="center" wrapText="1"/>
      <protection hidden="1"/>
    </xf>
    <xf numFmtId="182" fontId="16" fillId="0" borderId="0" xfId="1" applyNumberFormat="1" applyFont="1" applyFill="1" applyBorder="1" applyAlignment="1" applyProtection="1">
      <alignment horizontal="center" vertical="center" wrapText="1"/>
      <protection hidden="1"/>
    </xf>
    <xf numFmtId="187" fontId="16" fillId="0" borderId="0" xfId="1" applyNumberFormat="1" applyFont="1" applyFill="1" applyBorder="1" applyAlignment="1" applyProtection="1">
      <alignment vertical="center" wrapText="1"/>
      <protection hidden="1"/>
    </xf>
    <xf numFmtId="0" fontId="16" fillId="0" borderId="0" xfId="1" applyNumberFormat="1" applyFont="1" applyFill="1" applyBorder="1" applyAlignment="1" applyProtection="1">
      <alignment horizontal="justify" wrapText="1"/>
      <protection hidden="1"/>
    </xf>
    <xf numFmtId="2" fontId="16" fillId="0" borderId="0" xfId="1" applyNumberFormat="1" applyFont="1" applyFill="1" applyAlignment="1" applyProtection="1">
      <alignment horizontal="justify" vertical="center" wrapText="1"/>
      <protection hidden="1"/>
    </xf>
    <xf numFmtId="2" fontId="16" fillId="0" borderId="0" xfId="1" applyNumberFormat="1" applyFont="1" applyFill="1" applyAlignment="1" applyProtection="1">
      <alignment horizontal="center" vertical="center" wrapText="1"/>
      <protection hidden="1"/>
    </xf>
    <xf numFmtId="2" fontId="17" fillId="0" borderId="0" xfId="1" applyNumberFormat="1" applyFont="1" applyFill="1" applyAlignment="1" applyProtection="1">
      <alignment horizontal="center" vertical="center" wrapText="1"/>
      <protection hidden="1"/>
    </xf>
    <xf numFmtId="0" fontId="16" fillId="0" borderId="0" xfId="1" applyNumberFormat="1" applyFont="1" applyFill="1" applyAlignment="1" applyProtection="1">
      <alignment horizontal="center" vertical="center" wrapText="1"/>
      <protection hidden="1"/>
    </xf>
    <xf numFmtId="0" fontId="7" fillId="0" borderId="0" xfId="0" applyFont="1" applyAlignment="1">
      <alignment horizontal="justify" wrapText="1"/>
    </xf>
    <xf numFmtId="0" fontId="10" fillId="0" borderId="0" xfId="0" applyFont="1" applyFill="1" applyBorder="1" applyAlignment="1">
      <alignment horizontal="justify" vertical="center" wrapText="1"/>
    </xf>
    <xf numFmtId="2" fontId="16" fillId="0" borderId="2" xfId="1" applyNumberFormat="1" applyFont="1" applyFill="1" applyBorder="1" applyAlignment="1" applyProtection="1">
      <alignment horizontal="justify" vertical="top" wrapText="1"/>
      <protection hidden="1"/>
    </xf>
    <xf numFmtId="0" fontId="20" fillId="0" borderId="2" xfId="10" applyNumberFormat="1" applyFont="1" applyFill="1" applyBorder="1" applyAlignment="1">
      <alignment horizontal="justify" wrapText="1"/>
    </xf>
    <xf numFmtId="1" fontId="16" fillId="0" borderId="0" xfId="0" applyNumberFormat="1" applyFont="1" applyFill="1" applyBorder="1" applyAlignment="1">
      <alignment horizontal="justify" wrapText="1"/>
    </xf>
    <xf numFmtId="0" fontId="9" fillId="0" borderId="0" xfId="0" applyFont="1" applyAlignment="1">
      <alignment horizontal="justify"/>
    </xf>
    <xf numFmtId="2" fontId="17" fillId="0" borderId="2" xfId="1" applyNumberFormat="1" applyFont="1" applyFill="1" applyBorder="1" applyAlignment="1" applyProtection="1">
      <alignment horizontal="left" vertical="center" wrapText="1"/>
      <protection hidden="1"/>
    </xf>
    <xf numFmtId="184" fontId="17" fillId="0" borderId="2" xfId="1" applyNumberFormat="1" applyFont="1" applyFill="1" applyBorder="1" applyAlignment="1" applyProtection="1">
      <alignment horizontal="center" vertical="center" wrapText="1"/>
      <protection hidden="1"/>
    </xf>
    <xf numFmtId="182" fontId="17" fillId="0" borderId="2" xfId="1" applyNumberFormat="1" applyFont="1" applyFill="1" applyBorder="1" applyAlignment="1" applyProtection="1">
      <alignment horizontal="center" vertical="center" wrapText="1"/>
      <protection hidden="1"/>
    </xf>
    <xf numFmtId="0" fontId="17" fillId="0" borderId="2" xfId="1" applyNumberFormat="1" applyFont="1" applyFill="1" applyBorder="1" applyAlignment="1" applyProtection="1">
      <alignment horizontal="right" vertical="center" wrapText="1"/>
      <protection hidden="1"/>
    </xf>
    <xf numFmtId="0" fontId="17" fillId="0" borderId="2" xfId="1" applyNumberFormat="1" applyFont="1" applyFill="1" applyBorder="1" applyAlignment="1" applyProtection="1">
      <alignment horizontal="center" vertical="center" wrapText="1"/>
      <protection hidden="1"/>
    </xf>
    <xf numFmtId="0" fontId="17" fillId="0" borderId="2" xfId="1" applyNumberFormat="1" applyFont="1" applyFill="1" applyBorder="1" applyAlignment="1" applyProtection="1">
      <alignment horizontal="left" vertical="center" wrapText="1"/>
      <protection hidden="1"/>
    </xf>
    <xf numFmtId="0" fontId="17" fillId="0" borderId="2" xfId="1" applyNumberFormat="1" applyFont="1" applyFill="1" applyBorder="1" applyAlignment="1" applyProtection="1">
      <alignment horizontal="left" vertical="center"/>
      <protection hidden="1"/>
    </xf>
    <xf numFmtId="177" fontId="17" fillId="0" borderId="2" xfId="1" applyNumberFormat="1" applyFont="1" applyFill="1" applyBorder="1" applyAlignment="1" applyProtection="1">
      <alignment vertical="center" wrapText="1"/>
      <protection hidden="1"/>
    </xf>
    <xf numFmtId="2" fontId="16" fillId="0" borderId="2" xfId="1" applyNumberFormat="1" applyFont="1" applyFill="1" applyBorder="1" applyAlignment="1" applyProtection="1">
      <alignment horizontal="left" vertical="center" wrapText="1"/>
      <protection hidden="1"/>
    </xf>
    <xf numFmtId="184" fontId="16" fillId="0" borderId="2" xfId="1" applyNumberFormat="1" applyFont="1" applyFill="1" applyBorder="1" applyAlignment="1" applyProtection="1">
      <alignment horizontal="center" vertical="center" wrapText="1"/>
      <protection hidden="1"/>
    </xf>
    <xf numFmtId="182" fontId="16" fillId="0" borderId="2" xfId="1" applyNumberFormat="1" applyFont="1" applyFill="1" applyBorder="1" applyAlignment="1" applyProtection="1">
      <alignment horizontal="center" vertical="center" wrapText="1"/>
      <protection hidden="1"/>
    </xf>
    <xf numFmtId="177" fontId="16" fillId="0" borderId="2" xfId="1" applyNumberFormat="1" applyFont="1" applyFill="1" applyBorder="1" applyAlignment="1" applyProtection="1">
      <alignment vertical="center" wrapText="1"/>
      <protection hidden="1"/>
    </xf>
    <xf numFmtId="184" fontId="16" fillId="0" borderId="2" xfId="1" applyNumberFormat="1" applyFont="1" applyFill="1" applyBorder="1" applyAlignment="1" applyProtection="1">
      <alignment horizontal="center" wrapText="1"/>
      <protection hidden="1"/>
    </xf>
    <xf numFmtId="177" fontId="16" fillId="0" borderId="2" xfId="0" applyNumberFormat="1" applyFont="1" applyFill="1" applyBorder="1" applyAlignment="1">
      <alignment horizontal="right" wrapText="1"/>
    </xf>
    <xf numFmtId="1" fontId="16" fillId="0" borderId="2" xfId="6" applyNumberFormat="1" applyFont="1" applyFill="1" applyBorder="1" applyAlignment="1">
      <alignment horizontal="justify" wrapText="1"/>
    </xf>
    <xf numFmtId="0" fontId="16" fillId="0" borderId="2" xfId="1" applyNumberFormat="1" applyFont="1" applyFill="1" applyBorder="1" applyAlignment="1" applyProtection="1">
      <alignment horizontal="right" wrapText="1"/>
      <protection hidden="1"/>
    </xf>
    <xf numFmtId="0" fontId="16" fillId="0" borderId="2" xfId="3" applyNumberFormat="1" applyFont="1" applyFill="1" applyBorder="1" applyAlignment="1" applyProtection="1">
      <alignment horizontal="justify" wrapText="1"/>
      <protection hidden="1"/>
    </xf>
    <xf numFmtId="49" fontId="16" fillId="0" borderId="2" xfId="1" applyNumberFormat="1" applyFont="1" applyFill="1" applyBorder="1" applyAlignment="1">
      <alignment horizontal="center" wrapText="1"/>
    </xf>
    <xf numFmtId="1" fontId="16" fillId="0" borderId="2" xfId="1" applyNumberFormat="1" applyFont="1" applyFill="1" applyBorder="1" applyAlignment="1">
      <alignment horizontal="center" wrapText="1"/>
    </xf>
    <xf numFmtId="177" fontId="16" fillId="0" borderId="2" xfId="1" applyNumberFormat="1" applyFont="1" applyFill="1" applyBorder="1" applyAlignment="1">
      <alignment horizontal="right" wrapText="1"/>
    </xf>
    <xf numFmtId="0" fontId="16" fillId="0" borderId="2" xfId="3" applyNumberFormat="1" applyFont="1" applyFill="1" applyBorder="1" applyAlignment="1" applyProtection="1">
      <alignment horizontal="right" wrapText="1"/>
      <protection hidden="1"/>
    </xf>
    <xf numFmtId="0" fontId="16" fillId="0" borderId="2" xfId="1" applyNumberFormat="1" applyFont="1" applyFill="1" applyBorder="1" applyAlignment="1" applyProtection="1">
      <alignment horizontal="left" wrapText="1"/>
      <protection hidden="1"/>
    </xf>
    <xf numFmtId="177" fontId="16" fillId="0" borderId="2" xfId="0" applyNumberFormat="1" applyFont="1" applyFill="1" applyBorder="1" applyAlignment="1"/>
    <xf numFmtId="1" fontId="16" fillId="0" borderId="2" xfId="0" applyNumberFormat="1" applyFont="1" applyFill="1" applyBorder="1" applyAlignment="1">
      <alignment horizontal="left" wrapText="1"/>
    </xf>
    <xf numFmtId="0" fontId="16" fillId="0" borderId="2" xfId="0" applyFont="1" applyFill="1" applyBorder="1" applyAlignment="1">
      <alignment horizontal="justify" wrapText="1"/>
    </xf>
    <xf numFmtId="0" fontId="16" fillId="0" borderId="2" xfId="0" applyFont="1" applyFill="1" applyBorder="1"/>
    <xf numFmtId="0" fontId="16" fillId="0" borderId="2" xfId="0" applyFont="1" applyFill="1" applyBorder="1" applyAlignment="1">
      <alignment horizontal="center"/>
    </xf>
    <xf numFmtId="1" fontId="16" fillId="0" borderId="2" xfId="7" applyNumberFormat="1" applyFont="1" applyFill="1" applyBorder="1" applyAlignment="1">
      <alignment horizontal="justify" wrapText="1"/>
    </xf>
    <xf numFmtId="0" fontId="17" fillId="0" borderId="2" xfId="0" applyFont="1" applyFill="1" applyBorder="1" applyAlignment="1">
      <alignment horizontal="justify"/>
    </xf>
    <xf numFmtId="0" fontId="17" fillId="0" borderId="2" xfId="0" applyFont="1" applyFill="1" applyBorder="1" applyAlignment="1">
      <alignment horizontal="center"/>
    </xf>
    <xf numFmtId="49" fontId="17" fillId="0" borderId="2" xfId="0" applyNumberFormat="1" applyFont="1" applyFill="1" applyBorder="1" applyAlignment="1">
      <alignment horizontal="center"/>
    </xf>
    <xf numFmtId="0" fontId="17" fillId="0" borderId="2" xfId="0" applyFont="1" applyFill="1" applyBorder="1" applyAlignment="1"/>
    <xf numFmtId="177" fontId="17" fillId="0" borderId="2" xfId="0" applyNumberFormat="1" applyFont="1" applyFill="1" applyBorder="1" applyAlignment="1"/>
    <xf numFmtId="177" fontId="17" fillId="0" borderId="2" xfId="0" applyNumberFormat="1" applyFont="1" applyFill="1" applyBorder="1" applyAlignment="1">
      <alignment horizontal="right" wrapText="1"/>
    </xf>
    <xf numFmtId="1" fontId="17" fillId="0" borderId="2" xfId="0" applyNumberFormat="1" applyFont="1" applyFill="1" applyBorder="1" applyAlignment="1">
      <alignment horizontal="left" wrapText="1"/>
    </xf>
    <xf numFmtId="49" fontId="17" fillId="0" borderId="2" xfId="0" applyNumberFormat="1" applyFont="1" applyFill="1" applyBorder="1" applyAlignment="1">
      <alignment horizontal="center" wrapText="1"/>
    </xf>
    <xf numFmtId="1" fontId="17" fillId="0" borderId="2" xfId="0" applyNumberFormat="1" applyFont="1" applyFill="1" applyBorder="1" applyAlignment="1">
      <alignment horizontal="center" wrapText="1"/>
    </xf>
    <xf numFmtId="0" fontId="17" fillId="0" borderId="2" xfId="1" applyNumberFormat="1" applyFont="1" applyFill="1" applyBorder="1" applyAlignment="1" applyProtection="1">
      <protection hidden="1"/>
    </xf>
    <xf numFmtId="188" fontId="17" fillId="0" borderId="2" xfId="1" applyNumberFormat="1" applyFont="1" applyFill="1" applyBorder="1" applyAlignment="1" applyProtection="1">
      <protection hidden="1"/>
    </xf>
    <xf numFmtId="0" fontId="11" fillId="0" borderId="0" xfId="1" applyFont="1" applyFill="1"/>
    <xf numFmtId="0" fontId="16" fillId="0" borderId="2" xfId="0" applyFont="1" applyBorder="1" applyAlignment="1">
      <alignment horizontal="justify" vertical="distributed" wrapText="1"/>
    </xf>
    <xf numFmtId="0" fontId="10" fillId="0" borderId="2" xfId="4" applyFont="1" applyFill="1" applyBorder="1" applyAlignment="1">
      <alignment horizontal="justify" vertical="distributed" wrapText="1"/>
    </xf>
    <xf numFmtId="0" fontId="17" fillId="0" borderId="2" xfId="4" applyFont="1" applyFill="1" applyBorder="1" applyAlignment="1">
      <alignment horizontal="justify" vertical="distributed" wrapText="1"/>
    </xf>
    <xf numFmtId="0" fontId="17" fillId="0" borderId="2" xfId="0" applyFont="1" applyFill="1" applyBorder="1" applyAlignment="1">
      <alignment horizontal="center" vertical="distributed" wrapText="1"/>
    </xf>
    <xf numFmtId="0" fontId="16" fillId="0" borderId="2" xfId="1" applyNumberFormat="1" applyFont="1" applyFill="1" applyBorder="1" applyAlignment="1" applyProtection="1">
      <alignment horizontal="center" vertical="distributed" wrapText="1"/>
      <protection hidden="1"/>
    </xf>
    <xf numFmtId="177" fontId="16" fillId="0" borderId="2" xfId="0" applyNumberFormat="1" applyFont="1" applyFill="1" applyBorder="1" applyAlignment="1">
      <alignment horizontal="center" vertical="distributed" wrapText="1"/>
    </xf>
    <xf numFmtId="177" fontId="16" fillId="0" borderId="2" xfId="4" applyNumberFormat="1" applyFont="1" applyFill="1" applyBorder="1" applyAlignment="1">
      <alignment horizontal="center" vertical="distributed" wrapText="1"/>
    </xf>
    <xf numFmtId="177" fontId="17" fillId="0" borderId="2" xfId="4" applyNumberFormat="1" applyFont="1" applyFill="1" applyBorder="1" applyAlignment="1">
      <alignment horizontal="center" vertical="distributed" wrapText="1"/>
    </xf>
    <xf numFmtId="0" fontId="16" fillId="0" borderId="0" xfId="1" applyFont="1" applyFill="1" applyAlignment="1" applyProtection="1">
      <alignment horizontal="right"/>
      <protection hidden="1"/>
    </xf>
    <xf numFmtId="4" fontId="16" fillId="0" borderId="6" xfId="1" applyNumberFormat="1" applyFont="1" applyFill="1" applyBorder="1" applyAlignment="1" applyProtection="1">
      <alignment vertical="center" wrapText="1"/>
      <protection hidden="1"/>
    </xf>
    <xf numFmtId="4" fontId="16" fillId="0" borderId="0" xfId="1" applyNumberFormat="1" applyFont="1" applyFill="1" applyBorder="1" applyAlignment="1" applyProtection="1">
      <alignment vertical="center" wrapText="1"/>
      <protection hidden="1"/>
    </xf>
    <xf numFmtId="49" fontId="16" fillId="0" borderId="0" xfId="1" applyNumberFormat="1" applyFont="1" applyFill="1" applyAlignment="1" applyProtection="1">
      <alignment horizontal="center" vertical="center" wrapText="1"/>
      <protection hidden="1"/>
    </xf>
    <xf numFmtId="4" fontId="16" fillId="0" borderId="0" xfId="1" applyNumberFormat="1" applyFont="1" applyFill="1" applyAlignment="1" applyProtection="1">
      <alignment horizontal="right" vertical="center" wrapText="1"/>
      <protection hidden="1"/>
    </xf>
    <xf numFmtId="0" fontId="1" fillId="0" borderId="0" xfId="4"/>
    <xf numFmtId="0" fontId="16" fillId="0" borderId="0" xfId="4" applyFont="1" applyAlignment="1"/>
    <xf numFmtId="0" fontId="33" fillId="0" borderId="0" xfId="4" applyFont="1"/>
    <xf numFmtId="0" fontId="8" fillId="0" borderId="0" xfId="4" applyFont="1" applyAlignment="1">
      <alignment horizontal="center"/>
    </xf>
    <xf numFmtId="0" fontId="34" fillId="0" borderId="2" xfId="4" applyFont="1" applyBorder="1" applyAlignment="1"/>
    <xf numFmtId="0" fontId="17" fillId="0" borderId="2" xfId="4" applyFont="1" applyBorder="1" applyAlignment="1">
      <alignment horizontal="justify" vertical="center" wrapText="1"/>
    </xf>
    <xf numFmtId="0" fontId="16" fillId="0" borderId="2" xfId="4" applyFont="1" applyBorder="1" applyAlignment="1">
      <alignment horizontal="center" vertical="center" wrapText="1"/>
    </xf>
    <xf numFmtId="0" fontId="16" fillId="0" borderId="2" xfId="4" applyFont="1" applyBorder="1" applyAlignment="1">
      <alignment horizontal="justify" wrapText="1"/>
    </xf>
    <xf numFmtId="177" fontId="16" fillId="0" borderId="2" xfId="4" applyNumberFormat="1" applyFont="1" applyBorder="1" applyAlignment="1">
      <alignment horizontal="right"/>
    </xf>
    <xf numFmtId="0" fontId="34" fillId="0" borderId="2" xfId="4" applyFont="1" applyBorder="1"/>
    <xf numFmtId="0" fontId="17" fillId="0" borderId="2" xfId="4" applyFont="1" applyBorder="1" applyAlignment="1">
      <alignment horizontal="justify"/>
    </xf>
    <xf numFmtId="177" fontId="17" fillId="0" borderId="2" xfId="4" applyNumberFormat="1" applyFont="1" applyBorder="1" applyAlignment="1">
      <alignment horizontal="right"/>
    </xf>
    <xf numFmtId="4" fontId="1" fillId="0" borderId="0" xfId="4" applyNumberFormat="1"/>
    <xf numFmtId="0" fontId="16" fillId="0" borderId="0" xfId="4" applyFont="1" applyFill="1" applyAlignment="1">
      <alignment horizontal="right"/>
    </xf>
    <xf numFmtId="0" fontId="16" fillId="0" borderId="0" xfId="4" applyFont="1" applyFill="1"/>
    <xf numFmtId="0" fontId="12" fillId="0" borderId="0" xfId="0" applyNumberFormat="1" applyFont="1" applyAlignment="1">
      <alignment horizontal="center" vertical="center" wrapText="1"/>
    </xf>
    <xf numFmtId="0" fontId="12" fillId="0" borderId="0" xfId="0" applyNumberFormat="1" applyFont="1" applyAlignment="1">
      <alignment horizontal="center" wrapText="1"/>
    </xf>
    <xf numFmtId="0" fontId="12" fillId="0" borderId="0" xfId="0" applyNumberFormat="1" applyFont="1" applyAlignment="1">
      <alignment horizontal="center"/>
    </xf>
    <xf numFmtId="0" fontId="16" fillId="4" borderId="2" xfId="0" applyFont="1" applyFill="1" applyBorder="1" applyAlignment="1" applyProtection="1">
      <alignment horizontal="center" vertical="top" wrapText="1"/>
      <protection locked="0"/>
    </xf>
    <xf numFmtId="0" fontId="12" fillId="0" borderId="0" xfId="0" applyFont="1" applyAlignment="1">
      <alignment horizontal="center" wrapText="1"/>
    </xf>
    <xf numFmtId="0" fontId="12" fillId="0" borderId="0" xfId="1" applyNumberFormat="1" applyFont="1" applyFill="1" applyAlignment="1" applyProtection="1">
      <alignment horizontal="center" wrapText="1"/>
      <protection hidden="1"/>
    </xf>
    <xf numFmtId="49" fontId="16" fillId="0" borderId="2" xfId="0" applyNumberFormat="1" applyFont="1" applyFill="1" applyBorder="1" applyAlignment="1">
      <alignment horizontal="center" textRotation="90" wrapText="1"/>
    </xf>
    <xf numFmtId="0" fontId="12" fillId="0" borderId="0" xfId="0" applyFont="1" applyFill="1" applyAlignment="1">
      <alignment horizontal="center" wrapText="1"/>
    </xf>
    <xf numFmtId="49" fontId="9" fillId="0" borderId="2" xfId="0" applyNumberFormat="1" applyFont="1" applyFill="1" applyBorder="1" applyAlignment="1">
      <alignment horizontal="center" textRotation="90" wrapText="1"/>
    </xf>
    <xf numFmtId="0" fontId="12" fillId="0" borderId="0" xfId="0" applyFont="1" applyFill="1" applyAlignment="1">
      <alignment horizontal="center"/>
    </xf>
    <xf numFmtId="0" fontId="12" fillId="0" borderId="0" xfId="0" applyFont="1" applyFill="1" applyBorder="1" applyAlignment="1">
      <alignment horizontal="center" vertical="center" wrapText="1"/>
    </xf>
    <xf numFmtId="2" fontId="16" fillId="0" borderId="2" xfId="1" applyNumberFormat="1" applyFont="1" applyFill="1" applyBorder="1" applyAlignment="1" applyProtection="1">
      <alignment horizontal="center" vertical="top" wrapText="1"/>
      <protection hidden="1"/>
    </xf>
    <xf numFmtId="0" fontId="12" fillId="0" borderId="0" xfId="4" applyFont="1" applyBorder="1" applyAlignment="1">
      <alignment horizontal="center" wrapText="1"/>
    </xf>
    <xf numFmtId="0" fontId="32" fillId="0" borderId="0" xfId="4" applyFont="1" applyAlignment="1">
      <alignment horizontal="center" wrapText="1"/>
    </xf>
    <xf numFmtId="0" fontId="12" fillId="0" borderId="0" xfId="2" applyNumberFormat="1" applyFont="1" applyFill="1" applyAlignment="1" applyProtection="1">
      <alignment horizontal="center" vertical="center" wrapText="1"/>
      <protection hidden="1"/>
    </xf>
    <xf numFmtId="0" fontId="16" fillId="0" borderId="2" xfId="0" applyFont="1" applyFill="1" applyBorder="1" applyAlignment="1">
      <alignment horizontal="center" vertical="top" wrapText="1"/>
    </xf>
    <xf numFmtId="0" fontId="28" fillId="0" borderId="2" xfId="0" applyFont="1" applyFill="1" applyBorder="1" applyAlignment="1">
      <alignment horizontal="center" vertical="top" wrapText="1"/>
    </xf>
    <xf numFmtId="177" fontId="16" fillId="0" borderId="2" xfId="0" applyNumberFormat="1" applyFont="1" applyFill="1" applyBorder="1" applyAlignment="1">
      <alignment horizontal="center" vertical="top" wrapText="1"/>
    </xf>
    <xf numFmtId="0" fontId="12" fillId="0" borderId="0" xfId="0" applyFont="1" applyFill="1" applyBorder="1" applyAlignment="1" applyProtection="1">
      <alignment horizontal="center" vertical="center" wrapText="1"/>
      <protection locked="0"/>
    </xf>
  </cellXfs>
  <cellStyles count="11">
    <cellStyle name="Обычный" xfId="0" builtinId="0"/>
    <cellStyle name="Обычный 2" xfId="1"/>
    <cellStyle name="Обычный 2 2" xfId="2"/>
    <cellStyle name="Обычный 2 2 2" xfId="3"/>
    <cellStyle name="Обычный 3" xfId="4"/>
    <cellStyle name="Обычный 4" xfId="5"/>
    <cellStyle name="Обычный_Прил3" xfId="6"/>
    <cellStyle name="Обычный_Прил4" xfId="7"/>
    <cellStyle name="Свойства элементов измерения" xfId="8"/>
    <cellStyle name="Финансовый [0] 2" xfId="9"/>
    <cellStyle name="Финансовый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2895600</xdr:colOff>
      <xdr:row>10</xdr:row>
      <xdr:rowOff>0</xdr:rowOff>
    </xdr:from>
    <xdr:to>
      <xdr:col>1</xdr:col>
      <xdr:colOff>2971800</xdr:colOff>
      <xdr:row>10</xdr:row>
      <xdr:rowOff>200025</xdr:rowOff>
    </xdr:to>
    <xdr:sp macro="" textlink="">
      <xdr:nvSpPr>
        <xdr:cNvPr id="25646" name="Text Box 1"/>
        <xdr:cNvSpPr txBox="1">
          <a:spLocks noChangeArrowheads="1"/>
        </xdr:cNvSpPr>
      </xdr:nvSpPr>
      <xdr:spPr bwMode="auto">
        <a:xfrm>
          <a:off x="31432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11</xdr:row>
      <xdr:rowOff>0</xdr:rowOff>
    </xdr:from>
    <xdr:to>
      <xdr:col>1</xdr:col>
      <xdr:colOff>2971800</xdr:colOff>
      <xdr:row>11</xdr:row>
      <xdr:rowOff>200025</xdr:rowOff>
    </xdr:to>
    <xdr:sp macro="" textlink="">
      <xdr:nvSpPr>
        <xdr:cNvPr id="25647" name="Text Box 1"/>
        <xdr:cNvSpPr txBox="1">
          <a:spLocks noChangeArrowheads="1"/>
        </xdr:cNvSpPr>
      </xdr:nvSpPr>
      <xdr:spPr bwMode="auto">
        <a:xfrm>
          <a:off x="3143250" y="6115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12</xdr:row>
      <xdr:rowOff>0</xdr:rowOff>
    </xdr:from>
    <xdr:to>
      <xdr:col>1</xdr:col>
      <xdr:colOff>2971800</xdr:colOff>
      <xdr:row>12</xdr:row>
      <xdr:rowOff>200025</xdr:rowOff>
    </xdr:to>
    <xdr:sp macro="" textlink="">
      <xdr:nvSpPr>
        <xdr:cNvPr id="25648" name="Text Box 1"/>
        <xdr:cNvSpPr txBox="1">
          <a:spLocks noChangeArrowheads="1"/>
        </xdr:cNvSpPr>
      </xdr:nvSpPr>
      <xdr:spPr bwMode="auto">
        <a:xfrm>
          <a:off x="3143250" y="671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13</xdr:row>
      <xdr:rowOff>0</xdr:rowOff>
    </xdr:from>
    <xdr:to>
      <xdr:col>1</xdr:col>
      <xdr:colOff>2971800</xdr:colOff>
      <xdr:row>13</xdr:row>
      <xdr:rowOff>200025</xdr:rowOff>
    </xdr:to>
    <xdr:sp macro="" textlink="">
      <xdr:nvSpPr>
        <xdr:cNvPr id="25649" name="Text Box 1"/>
        <xdr:cNvSpPr txBox="1">
          <a:spLocks noChangeArrowheads="1"/>
        </xdr:cNvSpPr>
      </xdr:nvSpPr>
      <xdr:spPr bwMode="auto">
        <a:xfrm>
          <a:off x="3143250" y="7115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14</xdr:row>
      <xdr:rowOff>0</xdr:rowOff>
    </xdr:from>
    <xdr:to>
      <xdr:col>1</xdr:col>
      <xdr:colOff>2971800</xdr:colOff>
      <xdr:row>14</xdr:row>
      <xdr:rowOff>200025</xdr:rowOff>
    </xdr:to>
    <xdr:sp macro="" textlink="">
      <xdr:nvSpPr>
        <xdr:cNvPr id="25650" name="Text Box 1"/>
        <xdr:cNvSpPr txBox="1">
          <a:spLocks noChangeArrowheads="1"/>
        </xdr:cNvSpPr>
      </xdr:nvSpPr>
      <xdr:spPr bwMode="auto">
        <a:xfrm>
          <a:off x="3143250" y="8429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17</xdr:row>
      <xdr:rowOff>200025</xdr:rowOff>
    </xdr:to>
    <xdr:sp macro="" textlink="">
      <xdr:nvSpPr>
        <xdr:cNvPr id="25651" name="Text Box 1"/>
        <xdr:cNvSpPr txBox="1">
          <a:spLocks noChangeArrowheads="1"/>
        </xdr:cNvSpPr>
      </xdr:nvSpPr>
      <xdr:spPr bwMode="auto">
        <a:xfrm>
          <a:off x="3143250" y="9829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21</xdr:row>
      <xdr:rowOff>142875</xdr:rowOff>
    </xdr:to>
    <xdr:sp macro="" textlink="">
      <xdr:nvSpPr>
        <xdr:cNvPr id="25652" name="Text Box 1"/>
        <xdr:cNvSpPr txBox="1">
          <a:spLocks noChangeArrowheads="1"/>
        </xdr:cNvSpPr>
      </xdr:nvSpPr>
      <xdr:spPr bwMode="auto">
        <a:xfrm>
          <a:off x="3143250" y="1703070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16</xdr:row>
      <xdr:rowOff>0</xdr:rowOff>
    </xdr:from>
    <xdr:to>
      <xdr:col>1</xdr:col>
      <xdr:colOff>2971800</xdr:colOff>
      <xdr:row>16</xdr:row>
      <xdr:rowOff>200025</xdr:rowOff>
    </xdr:to>
    <xdr:sp macro="" textlink="">
      <xdr:nvSpPr>
        <xdr:cNvPr id="25653" name="Text Box 1"/>
        <xdr:cNvSpPr txBox="1">
          <a:spLocks noChangeArrowheads="1"/>
        </xdr:cNvSpPr>
      </xdr:nvSpPr>
      <xdr:spPr bwMode="auto">
        <a:xfrm>
          <a:off x="3143250" y="942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15</xdr:row>
      <xdr:rowOff>142875</xdr:rowOff>
    </xdr:to>
    <xdr:sp macro="" textlink="">
      <xdr:nvSpPr>
        <xdr:cNvPr id="25654" name="Text Box 1"/>
        <xdr:cNvSpPr txBox="1">
          <a:spLocks noChangeArrowheads="1"/>
        </xdr:cNvSpPr>
      </xdr:nvSpPr>
      <xdr:spPr bwMode="auto">
        <a:xfrm>
          <a:off x="3143250" y="922972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zoomScale="115" zoomScaleNormal="100" zoomScaleSheetLayoutView="115" workbookViewId="0">
      <selection activeCell="A10" sqref="A10:D10"/>
    </sheetView>
  </sheetViews>
  <sheetFormatPr defaultRowHeight="12.75"/>
  <cols>
    <col min="1" max="1" width="53.7109375" style="58" customWidth="1"/>
    <col min="2" max="2" width="14.140625" style="58" customWidth="1"/>
    <col min="3" max="3" width="25.42578125" style="73" customWidth="1"/>
    <col min="4" max="4" width="13" style="59" customWidth="1"/>
    <col min="5" max="16384" width="9.140625" style="58"/>
  </cols>
  <sheetData>
    <row r="1" spans="1:4" ht="15.75">
      <c r="D1" s="245" t="s">
        <v>121</v>
      </c>
    </row>
    <row r="2" spans="1:4" ht="15.75">
      <c r="D2" s="245" t="s">
        <v>242</v>
      </c>
    </row>
    <row r="3" spans="1:4" ht="13.5" customHeight="1">
      <c r="C3" s="74"/>
      <c r="D3" s="245" t="s">
        <v>565</v>
      </c>
    </row>
    <row r="4" spans="1:4" ht="15.75" customHeight="1">
      <c r="C4" s="75"/>
      <c r="D4" s="245" t="s">
        <v>566</v>
      </c>
    </row>
    <row r="5" spans="1:4" ht="15.75">
      <c r="D5" s="245" t="s">
        <v>481</v>
      </c>
    </row>
    <row r="6" spans="1:4" ht="15.75">
      <c r="D6" s="246"/>
    </row>
    <row r="8" spans="1:4" ht="18" customHeight="1">
      <c r="A8" s="247" t="s">
        <v>266</v>
      </c>
      <c r="B8" s="247"/>
      <c r="C8" s="247"/>
      <c r="D8" s="247"/>
    </row>
    <row r="9" spans="1:4" ht="39" customHeight="1">
      <c r="A9" s="248" t="s">
        <v>570</v>
      </c>
      <c r="B9" s="248"/>
      <c r="C9" s="248"/>
      <c r="D9" s="248"/>
    </row>
    <row r="10" spans="1:4" ht="20.25" customHeight="1">
      <c r="A10" s="249" t="s">
        <v>480</v>
      </c>
      <c r="B10" s="249"/>
      <c r="C10" s="249"/>
      <c r="D10" s="249"/>
    </row>
    <row r="11" spans="1:4">
      <c r="A11" s="60"/>
      <c r="B11" s="60"/>
      <c r="D11" s="63" t="s">
        <v>141</v>
      </c>
    </row>
    <row r="12" spans="1:4" s="61" customFormat="1" ht="15.75">
      <c r="A12" s="250" t="s">
        <v>245</v>
      </c>
      <c r="B12" s="250" t="s">
        <v>246</v>
      </c>
      <c r="C12" s="250"/>
      <c r="D12" s="250" t="s">
        <v>247</v>
      </c>
    </row>
    <row r="13" spans="1:4" ht="48.75" customHeight="1">
      <c r="A13" s="250"/>
      <c r="B13" s="72" t="s">
        <v>265</v>
      </c>
      <c r="C13" s="76" t="s">
        <v>248</v>
      </c>
      <c r="D13" s="250"/>
    </row>
    <row r="14" spans="1:4" ht="15.75" customHeight="1">
      <c r="A14" s="77" t="s">
        <v>263</v>
      </c>
      <c r="B14" s="77"/>
      <c r="C14" s="79"/>
      <c r="D14" s="80">
        <f>D15+D23+D25+D27</f>
        <v>98024.3</v>
      </c>
    </row>
    <row r="15" spans="1:4" ht="14.25" customHeight="1">
      <c r="A15" s="92" t="s">
        <v>252</v>
      </c>
      <c r="B15" s="86">
        <v>182</v>
      </c>
      <c r="C15" s="79"/>
      <c r="D15" s="80">
        <f>SUM(D16:D22)</f>
        <v>85675.6</v>
      </c>
    </row>
    <row r="16" spans="1:4" ht="105" customHeight="1">
      <c r="A16" s="90" t="s">
        <v>482</v>
      </c>
      <c r="B16" s="81">
        <v>182</v>
      </c>
      <c r="C16" s="83" t="s">
        <v>249</v>
      </c>
      <c r="D16" s="82">
        <f>'Приложение 2'!D14</f>
        <v>39708.6</v>
      </c>
    </row>
    <row r="17" spans="1:4" ht="151.5" customHeight="1">
      <c r="A17" s="90" t="s">
        <v>483</v>
      </c>
      <c r="B17" s="84">
        <v>182</v>
      </c>
      <c r="C17" s="83" t="s">
        <v>250</v>
      </c>
      <c r="D17" s="82">
        <f>'Приложение 2'!D15</f>
        <v>110.3</v>
      </c>
    </row>
    <row r="18" spans="1:4" ht="66.75" customHeight="1">
      <c r="A18" s="90" t="s">
        <v>484</v>
      </c>
      <c r="B18" s="84">
        <v>182</v>
      </c>
      <c r="C18" s="83" t="s">
        <v>251</v>
      </c>
      <c r="D18" s="82">
        <f>'Приложение 2'!D16</f>
        <v>118.4</v>
      </c>
    </row>
    <row r="19" spans="1:4" ht="57" customHeight="1">
      <c r="A19" s="91" t="s">
        <v>186</v>
      </c>
      <c r="B19" s="84">
        <v>182</v>
      </c>
      <c r="C19" s="83" t="s">
        <v>253</v>
      </c>
      <c r="D19" s="82">
        <f>'Приложение 2'!D19</f>
        <v>2658</v>
      </c>
    </row>
    <row r="20" spans="1:4" ht="51.75" customHeight="1">
      <c r="A20" s="90" t="s">
        <v>485</v>
      </c>
      <c r="B20" s="85">
        <v>182</v>
      </c>
      <c r="C20" s="83" t="s">
        <v>254</v>
      </c>
      <c r="D20" s="82">
        <f>'Приложение 2'!D22</f>
        <v>39586.9</v>
      </c>
    </row>
    <row r="21" spans="1:4" ht="53.25" customHeight="1">
      <c r="A21" s="90" t="s">
        <v>486</v>
      </c>
      <c r="B21" s="85">
        <v>182</v>
      </c>
      <c r="C21" s="83" t="s">
        <v>255</v>
      </c>
      <c r="D21" s="82">
        <f>'Приложение 2'!D24</f>
        <v>3488.4</v>
      </c>
    </row>
    <row r="22" spans="1:4" ht="53.25" customHeight="1">
      <c r="A22" s="90" t="s">
        <v>487</v>
      </c>
      <c r="B22" s="85">
        <v>182</v>
      </c>
      <c r="C22" s="83" t="s">
        <v>488</v>
      </c>
      <c r="D22" s="82">
        <f>'Приложение 2'!D44</f>
        <v>5</v>
      </c>
    </row>
    <row r="23" spans="1:4" ht="15.75">
      <c r="A23" s="77" t="s">
        <v>410</v>
      </c>
      <c r="B23" s="86">
        <v>802</v>
      </c>
      <c r="C23" s="87"/>
      <c r="D23" s="80">
        <f>SUM(D24:D24)</f>
        <v>58</v>
      </c>
    </row>
    <row r="24" spans="1:4" ht="63">
      <c r="A24" s="90" t="s">
        <v>302</v>
      </c>
      <c r="B24" s="85">
        <v>802</v>
      </c>
      <c r="C24" s="83" t="s">
        <v>299</v>
      </c>
      <c r="D24" s="82">
        <f>'Приложение 2'!D42</f>
        <v>58</v>
      </c>
    </row>
    <row r="25" spans="1:4" ht="28.5" customHeight="1">
      <c r="A25" s="77" t="s">
        <v>256</v>
      </c>
      <c r="B25" s="86">
        <v>851</v>
      </c>
      <c r="C25" s="87"/>
      <c r="D25" s="80">
        <f>SUM(D26:D26)</f>
        <v>34.200000000000003</v>
      </c>
    </row>
    <row r="26" spans="1:4" ht="103.5" customHeight="1">
      <c r="A26" s="90" t="s">
        <v>202</v>
      </c>
      <c r="B26" s="85">
        <v>851</v>
      </c>
      <c r="C26" s="83" t="s">
        <v>257</v>
      </c>
      <c r="D26" s="82">
        <v>34.200000000000003</v>
      </c>
    </row>
    <row r="27" spans="1:4" ht="44.25" customHeight="1">
      <c r="A27" s="77" t="s">
        <v>259</v>
      </c>
      <c r="B27" s="88">
        <v>871</v>
      </c>
      <c r="C27" s="87"/>
      <c r="D27" s="80">
        <f>SUM(D28:D39)</f>
        <v>12256.499999999998</v>
      </c>
    </row>
    <row r="28" spans="1:4" ht="103.5" customHeight="1">
      <c r="A28" s="90" t="s">
        <v>202</v>
      </c>
      <c r="B28" s="85">
        <v>871</v>
      </c>
      <c r="C28" s="83" t="s">
        <v>257</v>
      </c>
      <c r="D28" s="82">
        <f>'Приложение 2'!D27-34.2</f>
        <v>2231.6000000000004</v>
      </c>
    </row>
    <row r="29" spans="1:4" ht="100.5" customHeight="1">
      <c r="A29" s="90" t="s">
        <v>206</v>
      </c>
      <c r="B29" s="81">
        <v>871</v>
      </c>
      <c r="C29" s="83" t="s">
        <v>264</v>
      </c>
      <c r="D29" s="82">
        <f>'Приложение 2'!D29</f>
        <v>970</v>
      </c>
    </row>
    <row r="30" spans="1:4" ht="72" customHeight="1">
      <c r="A30" s="90" t="s">
        <v>214</v>
      </c>
      <c r="B30" s="85">
        <v>871</v>
      </c>
      <c r="C30" s="83" t="s">
        <v>258</v>
      </c>
      <c r="D30" s="82">
        <f>'Приложение 2'!D33</f>
        <v>5517.9</v>
      </c>
    </row>
    <row r="31" spans="1:4" ht="110.25">
      <c r="A31" s="90" t="s">
        <v>301</v>
      </c>
      <c r="B31" s="85">
        <v>871</v>
      </c>
      <c r="C31" s="146" t="s">
        <v>300</v>
      </c>
      <c r="D31" s="82">
        <f>'Приложение 2'!D36</f>
        <v>12.8</v>
      </c>
    </row>
    <row r="32" spans="1:4" ht="94.5">
      <c r="A32" s="90" t="s">
        <v>414</v>
      </c>
      <c r="B32" s="81">
        <v>871</v>
      </c>
      <c r="C32" s="83" t="s">
        <v>413</v>
      </c>
      <c r="D32" s="82">
        <f>'Приложение 2'!D39</f>
        <v>123.2</v>
      </c>
    </row>
    <row r="33" spans="1:4" ht="31.5" customHeight="1">
      <c r="A33" s="78" t="s">
        <v>220</v>
      </c>
      <c r="B33" s="81">
        <v>871</v>
      </c>
      <c r="C33" s="83" t="s">
        <v>260</v>
      </c>
      <c r="D33" s="82">
        <f>'Приложение 2'!D46</f>
        <v>866.8</v>
      </c>
    </row>
    <row r="34" spans="1:4" ht="15.75">
      <c r="A34" s="93" t="s">
        <v>411</v>
      </c>
      <c r="B34" s="89">
        <v>871</v>
      </c>
      <c r="C34" s="83" t="s">
        <v>412</v>
      </c>
      <c r="D34" s="82">
        <f>'Приложение 2'!D51</f>
        <v>50</v>
      </c>
    </row>
    <row r="35" spans="1:4" s="62" customFormat="1" ht="54.75" customHeight="1">
      <c r="A35" s="93" t="s">
        <v>228</v>
      </c>
      <c r="B35" s="89">
        <v>871</v>
      </c>
      <c r="C35" s="83" t="s">
        <v>479</v>
      </c>
      <c r="D35" s="82">
        <f>'Приложение 2'!D54</f>
        <v>399.1</v>
      </c>
    </row>
    <row r="36" spans="1:4" s="62" customFormat="1" ht="33" customHeight="1">
      <c r="A36" s="93" t="s">
        <v>233</v>
      </c>
      <c r="B36" s="89">
        <v>871</v>
      </c>
      <c r="C36" s="83" t="s">
        <v>478</v>
      </c>
      <c r="D36" s="82">
        <f>'Приложение 2'!D55</f>
        <v>1983.6999999999998</v>
      </c>
    </row>
    <row r="37" spans="1:4" ht="57" customHeight="1">
      <c r="A37" s="94" t="s">
        <v>237</v>
      </c>
      <c r="B37" s="81">
        <v>871</v>
      </c>
      <c r="C37" s="83" t="s">
        <v>261</v>
      </c>
      <c r="D37" s="82">
        <f>'Приложение 2'!D65</f>
        <v>41.9</v>
      </c>
    </row>
    <row r="38" spans="1:4" ht="52.5" customHeight="1">
      <c r="A38" s="94" t="s">
        <v>241</v>
      </c>
      <c r="B38" s="81">
        <v>871</v>
      </c>
      <c r="C38" s="83" t="s">
        <v>262</v>
      </c>
      <c r="D38" s="82">
        <f>'Приложение 2'!D68</f>
        <v>45.5</v>
      </c>
    </row>
    <row r="39" spans="1:4" ht="78.75">
      <c r="A39" s="94" t="s">
        <v>489</v>
      </c>
      <c r="B39" s="81">
        <v>871</v>
      </c>
      <c r="C39" s="83" t="s">
        <v>490</v>
      </c>
      <c r="D39" s="82">
        <f>'Приложение 2'!D72</f>
        <v>14</v>
      </c>
    </row>
  </sheetData>
  <mergeCells count="6">
    <mergeCell ref="A8:D8"/>
    <mergeCell ref="A9:D9"/>
    <mergeCell ref="A10:D10"/>
    <mergeCell ref="A12:A13"/>
    <mergeCell ref="B12:C12"/>
    <mergeCell ref="D12:D13"/>
  </mergeCells>
  <pageMargins left="0.74803149606299213" right="0.55118110236220474" top="0.31496062992125984" bottom="0.23622047244094491" header="0.51181102362204722" footer="0.51181102362204722"/>
  <pageSetup paperSize="9" scale="85"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zoomScaleNormal="100" workbookViewId="0">
      <selection activeCell="A8" sqref="A8:D8"/>
    </sheetView>
  </sheetViews>
  <sheetFormatPr defaultRowHeight="15"/>
  <cols>
    <col min="1" max="1" width="49.5703125" style="10" customWidth="1"/>
    <col min="2" max="2" width="18.85546875" style="10" customWidth="1"/>
    <col min="3" max="3" width="25.42578125" style="10" customWidth="1"/>
    <col min="4" max="4" width="12.28515625" style="10" customWidth="1"/>
    <col min="5" max="16384" width="9.140625" style="10"/>
  </cols>
  <sheetData>
    <row r="1" spans="1:4" ht="15.75">
      <c r="D1" s="245" t="s">
        <v>298</v>
      </c>
    </row>
    <row r="2" spans="1:4" ht="15.75">
      <c r="D2" s="245" t="s">
        <v>242</v>
      </c>
    </row>
    <row r="3" spans="1:4" ht="15.75">
      <c r="D3" s="245" t="s">
        <v>565</v>
      </c>
    </row>
    <row r="4" spans="1:4" ht="15.75">
      <c r="D4" s="245" t="s">
        <v>566</v>
      </c>
    </row>
    <row r="5" spans="1:4" ht="15.75">
      <c r="A5" s="55"/>
      <c r="B5" s="55"/>
      <c r="C5" s="55"/>
      <c r="D5" s="245" t="str">
        <f>'Приложение 1'!D5</f>
        <v>от "___" _____________ 2019 года</v>
      </c>
    </row>
    <row r="6" spans="1:4">
      <c r="A6" s="55"/>
      <c r="B6" s="55"/>
      <c r="C6" s="55"/>
      <c r="D6" s="4"/>
    </row>
    <row r="7" spans="1:4">
      <c r="A7" s="55"/>
      <c r="B7" s="55"/>
      <c r="C7" s="55"/>
      <c r="D7" s="4"/>
    </row>
    <row r="8" spans="1:4" ht="78.75" customHeight="1">
      <c r="A8" s="265" t="s">
        <v>568</v>
      </c>
      <c r="B8" s="265"/>
      <c r="C8" s="265"/>
      <c r="D8" s="265"/>
    </row>
    <row r="10" spans="1:4" ht="15.75">
      <c r="A10" s="56"/>
      <c r="B10" s="56"/>
      <c r="C10" s="56"/>
      <c r="D10" s="70" t="s">
        <v>141</v>
      </c>
    </row>
    <row r="11" spans="1:4" ht="48.75" customHeight="1">
      <c r="A11" s="262" t="s">
        <v>283</v>
      </c>
      <c r="B11" s="262" t="s">
        <v>284</v>
      </c>
      <c r="C11" s="263"/>
      <c r="D11" s="264" t="s">
        <v>247</v>
      </c>
    </row>
    <row r="12" spans="1:4" ht="51.75" customHeight="1">
      <c r="A12" s="262"/>
      <c r="B12" s="132" t="s">
        <v>285</v>
      </c>
      <c r="C12" s="132" t="s">
        <v>286</v>
      </c>
      <c r="D12" s="264"/>
    </row>
    <row r="13" spans="1:4" ht="47.25">
      <c r="A13" s="133" t="s">
        <v>287</v>
      </c>
      <c r="B13" s="133"/>
      <c r="C13" s="133"/>
      <c r="D13" s="142">
        <f>D20</f>
        <v>-6729.5</v>
      </c>
    </row>
    <row r="14" spans="1:4" ht="31.5" hidden="1">
      <c r="A14" s="134" t="s">
        <v>149</v>
      </c>
      <c r="B14" s="134"/>
      <c r="C14" s="134"/>
      <c r="D14" s="135">
        <f>SUM(D15-D17)</f>
        <v>0</v>
      </c>
    </row>
    <row r="15" spans="1:4" ht="31.5" hidden="1">
      <c r="A15" s="136" t="s">
        <v>150</v>
      </c>
      <c r="B15" s="136"/>
      <c r="C15" s="136"/>
      <c r="D15" s="137">
        <f>SUM(D16)</f>
        <v>0</v>
      </c>
    </row>
    <row r="16" spans="1:4" ht="47.25" hidden="1">
      <c r="A16" s="136" t="s">
        <v>151</v>
      </c>
      <c r="B16" s="136"/>
      <c r="C16" s="136"/>
      <c r="D16" s="137">
        <v>0</v>
      </c>
    </row>
    <row r="17" spans="1:4" ht="47.25" hidden="1">
      <c r="A17" s="136" t="s">
        <v>152</v>
      </c>
      <c r="B17" s="136"/>
      <c r="C17" s="136"/>
      <c r="D17" s="137">
        <f>SUM(D18)</f>
        <v>0</v>
      </c>
    </row>
    <row r="18" spans="1:4" ht="47.25" hidden="1">
      <c r="A18" s="136" t="s">
        <v>153</v>
      </c>
      <c r="B18" s="136"/>
      <c r="C18" s="136"/>
      <c r="D18" s="137"/>
    </row>
    <row r="19" spans="1:4" ht="15.75">
      <c r="A19" s="131" t="s">
        <v>244</v>
      </c>
      <c r="B19" s="136"/>
      <c r="C19" s="136"/>
      <c r="D19" s="137"/>
    </row>
    <row r="20" spans="1:4" ht="15.75">
      <c r="A20" s="138" t="s">
        <v>31</v>
      </c>
      <c r="B20" s="141">
        <v>871</v>
      </c>
      <c r="C20" s="138"/>
      <c r="D20" s="139">
        <f>D21+D25</f>
        <v>-6729.5</v>
      </c>
    </row>
    <row r="21" spans="1:4" ht="15.75" customHeight="1">
      <c r="A21" s="138" t="s">
        <v>156</v>
      </c>
      <c r="B21" s="141">
        <v>871</v>
      </c>
      <c r="C21" s="141" t="s">
        <v>295</v>
      </c>
      <c r="D21" s="139">
        <f>D22</f>
        <v>-98024.3</v>
      </c>
    </row>
    <row r="22" spans="1:4" ht="20.25" customHeight="1">
      <c r="A22" s="138" t="s">
        <v>158</v>
      </c>
      <c r="B22" s="141">
        <v>871</v>
      </c>
      <c r="C22" s="141" t="s">
        <v>294</v>
      </c>
      <c r="D22" s="139">
        <f>D23</f>
        <v>-98024.3</v>
      </c>
    </row>
    <row r="23" spans="1:4" ht="31.5" customHeight="1">
      <c r="A23" s="138" t="s">
        <v>160</v>
      </c>
      <c r="B23" s="141">
        <v>871</v>
      </c>
      <c r="C23" s="141" t="s">
        <v>293</v>
      </c>
      <c r="D23" s="139">
        <f>D24</f>
        <v>-98024.3</v>
      </c>
    </row>
    <row r="24" spans="1:4" ht="30" customHeight="1">
      <c r="A24" s="138" t="s">
        <v>162</v>
      </c>
      <c r="B24" s="141">
        <v>871</v>
      </c>
      <c r="C24" s="141" t="s">
        <v>292</v>
      </c>
      <c r="D24" s="140">
        <f>-'Приложение 2'!D10</f>
        <v>-98024.3</v>
      </c>
    </row>
    <row r="25" spans="1:4" ht="18.75" customHeight="1">
      <c r="A25" s="138" t="s">
        <v>164</v>
      </c>
      <c r="B25" s="141">
        <v>871</v>
      </c>
      <c r="C25" s="141" t="s">
        <v>291</v>
      </c>
      <c r="D25" s="139">
        <f>D26</f>
        <v>91294.8</v>
      </c>
    </row>
    <row r="26" spans="1:4" ht="18" customHeight="1">
      <c r="A26" s="138" t="s">
        <v>166</v>
      </c>
      <c r="B26" s="141">
        <v>871</v>
      </c>
      <c r="C26" s="141" t="s">
        <v>290</v>
      </c>
      <c r="D26" s="139">
        <f>D27</f>
        <v>91294.8</v>
      </c>
    </row>
    <row r="27" spans="1:4" ht="32.25" customHeight="1">
      <c r="A27" s="138" t="s">
        <v>168</v>
      </c>
      <c r="B27" s="141">
        <v>871</v>
      </c>
      <c r="C27" s="141" t="s">
        <v>289</v>
      </c>
      <c r="D27" s="139">
        <f>D28</f>
        <v>91294.8</v>
      </c>
    </row>
    <row r="28" spans="1:4" ht="30.75" customHeight="1">
      <c r="A28" s="138" t="s">
        <v>170</v>
      </c>
      <c r="B28" s="141">
        <v>871</v>
      </c>
      <c r="C28" s="141" t="s">
        <v>288</v>
      </c>
      <c r="D28" s="140">
        <f>'Приложение 6'!K333</f>
        <v>91294.8</v>
      </c>
    </row>
  </sheetData>
  <mergeCells count="4">
    <mergeCell ref="A11:A12"/>
    <mergeCell ref="B11:C11"/>
    <mergeCell ref="D11:D12"/>
    <mergeCell ref="A8:D8"/>
  </mergeCells>
  <pageMargins left="0.75" right="0.28000000000000003" top="0.55000000000000004" bottom="0.39" header="0.17" footer="0.28000000000000003"/>
  <pageSetup paperSize="9" scale="85" orientation="portrait"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abSelected="1" view="pageBreakPreview" topLeftCell="A4" zoomScaleNormal="100" zoomScaleSheetLayoutView="100" workbookViewId="0">
      <selection activeCell="C10" sqref="C10"/>
    </sheetView>
  </sheetViews>
  <sheetFormatPr defaultRowHeight="15"/>
  <cols>
    <col min="1" max="1" width="29.5703125" style="10" customWidth="1"/>
    <col min="2" max="2" width="32.140625" style="10" customWidth="1"/>
    <col min="3" max="3" width="19.5703125" style="10" customWidth="1"/>
    <col min="4" max="4" width="12.28515625" style="10" customWidth="1"/>
    <col min="5" max="16384" width="9.140625" style="10"/>
  </cols>
  <sheetData>
    <row r="1" spans="1:4" ht="15.75">
      <c r="D1" s="245" t="s">
        <v>561</v>
      </c>
    </row>
    <row r="2" spans="1:4" ht="15.75">
      <c r="D2" s="245" t="s">
        <v>242</v>
      </c>
    </row>
    <row r="3" spans="1:4" ht="15.75">
      <c r="D3" s="245" t="s">
        <v>565</v>
      </c>
    </row>
    <row r="4" spans="1:4" ht="15.75">
      <c r="D4" s="245" t="s">
        <v>566</v>
      </c>
    </row>
    <row r="5" spans="1:4" ht="15.75">
      <c r="B5" s="55"/>
      <c r="C5" s="55"/>
      <c r="D5" s="245" t="str">
        <f>'Приложение 1'!D5</f>
        <v>от "___" _____________ 2019 года</v>
      </c>
    </row>
    <row r="6" spans="1:4">
      <c r="B6" s="55"/>
      <c r="C6" s="55"/>
      <c r="D6" s="4"/>
    </row>
    <row r="7" spans="1:4">
      <c r="B7" s="55"/>
      <c r="C7" s="55"/>
      <c r="D7" s="4"/>
    </row>
    <row r="8" spans="1:4" ht="121.5" customHeight="1">
      <c r="A8" s="265" t="s">
        <v>569</v>
      </c>
      <c r="B8" s="265"/>
      <c r="C8" s="265"/>
      <c r="D8" s="265"/>
    </row>
    <row r="10" spans="1:4" ht="15.75">
      <c r="B10" s="56"/>
      <c r="C10" s="56"/>
      <c r="D10" s="70" t="s">
        <v>141</v>
      </c>
    </row>
    <row r="11" spans="1:4" ht="196.5" customHeight="1">
      <c r="A11" s="132" t="s">
        <v>284</v>
      </c>
      <c r="B11" s="132" t="s">
        <v>245</v>
      </c>
      <c r="C11" s="118" t="s">
        <v>511</v>
      </c>
      <c r="D11" s="118" t="s">
        <v>247</v>
      </c>
    </row>
    <row r="12" spans="1:4" ht="63">
      <c r="A12" s="143" t="s">
        <v>147</v>
      </c>
      <c r="B12" s="149" t="s">
        <v>148</v>
      </c>
      <c r="C12" s="144">
        <f>C14</f>
        <v>25213.399999999994</v>
      </c>
      <c r="D12" s="142">
        <f>D14</f>
        <v>-6729.5</v>
      </c>
    </row>
    <row r="13" spans="1:4" ht="15.75">
      <c r="A13" s="71"/>
      <c r="B13" s="131" t="s">
        <v>244</v>
      </c>
      <c r="C13" s="136"/>
      <c r="D13" s="137"/>
    </row>
    <row r="14" spans="1:4" ht="47.25">
      <c r="A14" s="143" t="s">
        <v>154</v>
      </c>
      <c r="B14" s="147" t="s">
        <v>296</v>
      </c>
      <c r="C14" s="135">
        <f>C15+C19</f>
        <v>25213.399999999994</v>
      </c>
      <c r="D14" s="135">
        <f>D15+D19</f>
        <v>-6729.5</v>
      </c>
    </row>
    <row r="15" spans="1:4" ht="31.5">
      <c r="A15" s="141" t="s">
        <v>155</v>
      </c>
      <c r="B15" s="148" t="s">
        <v>156</v>
      </c>
      <c r="C15" s="139">
        <f t="shared" ref="C15:D17" si="0">C16</f>
        <v>-96745.900000000009</v>
      </c>
      <c r="D15" s="139">
        <f t="shared" si="0"/>
        <v>-98024.3</v>
      </c>
    </row>
    <row r="16" spans="1:4" ht="31.5">
      <c r="A16" s="141" t="s">
        <v>157</v>
      </c>
      <c r="B16" s="148" t="s">
        <v>158</v>
      </c>
      <c r="C16" s="139">
        <f t="shared" si="0"/>
        <v>-96745.900000000009</v>
      </c>
      <c r="D16" s="139">
        <f t="shared" si="0"/>
        <v>-98024.3</v>
      </c>
    </row>
    <row r="17" spans="1:4" ht="31.5">
      <c r="A17" s="141" t="s">
        <v>159</v>
      </c>
      <c r="B17" s="148" t="s">
        <v>160</v>
      </c>
      <c r="C17" s="139">
        <f t="shared" si="0"/>
        <v>-96745.900000000009</v>
      </c>
      <c r="D17" s="139">
        <f t="shared" si="0"/>
        <v>-98024.3</v>
      </c>
    </row>
    <row r="18" spans="1:4" ht="47.25">
      <c r="A18" s="141" t="s">
        <v>161</v>
      </c>
      <c r="B18" s="148" t="s">
        <v>162</v>
      </c>
      <c r="C18" s="140">
        <f>-'Приложение 2'!C10</f>
        <v>-96745.900000000009</v>
      </c>
      <c r="D18" s="140">
        <f>-'Приложение 2'!D10</f>
        <v>-98024.3</v>
      </c>
    </row>
    <row r="19" spans="1:4" ht="31.5">
      <c r="A19" s="141" t="s">
        <v>163</v>
      </c>
      <c r="B19" s="148" t="s">
        <v>164</v>
      </c>
      <c r="C19" s="139">
        <f t="shared" ref="C19:D21" si="1">C20</f>
        <v>121959.3</v>
      </c>
      <c r="D19" s="139">
        <f t="shared" si="1"/>
        <v>91294.8</v>
      </c>
    </row>
    <row r="20" spans="1:4" ht="31.5">
      <c r="A20" s="141" t="s">
        <v>165</v>
      </c>
      <c r="B20" s="148" t="s">
        <v>166</v>
      </c>
      <c r="C20" s="139">
        <f t="shared" si="1"/>
        <v>121959.3</v>
      </c>
      <c r="D20" s="139">
        <f t="shared" si="1"/>
        <v>91294.8</v>
      </c>
    </row>
    <row r="21" spans="1:4" ht="31.5">
      <c r="A21" s="141" t="s">
        <v>167</v>
      </c>
      <c r="B21" s="148" t="s">
        <v>168</v>
      </c>
      <c r="C21" s="139">
        <f t="shared" si="1"/>
        <v>121959.3</v>
      </c>
      <c r="D21" s="139">
        <f t="shared" si="1"/>
        <v>91294.8</v>
      </c>
    </row>
    <row r="22" spans="1:4" ht="30.75" customHeight="1">
      <c r="A22" s="141" t="s">
        <v>169</v>
      </c>
      <c r="B22" s="148" t="s">
        <v>170</v>
      </c>
      <c r="C22" s="140">
        <f>'Приложение 6'!J333</f>
        <v>121959.3</v>
      </c>
      <c r="D22" s="140">
        <f>'Приложение 6'!K333</f>
        <v>91294.8</v>
      </c>
    </row>
  </sheetData>
  <mergeCells count="1">
    <mergeCell ref="A8:D8"/>
  </mergeCells>
  <pageMargins left="0.74803149606299213" right="0.27559055118110237" top="0.55118110236220474" bottom="0.39370078740157483" header="0.15748031496062992" footer="0.27559055118110237"/>
  <pageSetup paperSize="9" scale="93"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view="pageBreakPreview" zoomScale="115" zoomScaleNormal="100" zoomScaleSheetLayoutView="115" workbookViewId="0">
      <selection activeCell="D1" sqref="D1:D5"/>
    </sheetView>
  </sheetViews>
  <sheetFormatPr defaultRowHeight="12.75"/>
  <cols>
    <col min="1" max="1" width="26.5703125" style="58" customWidth="1"/>
    <col min="2" max="2" width="39.140625" style="58" customWidth="1"/>
    <col min="3" max="3" width="13.85546875" style="59" customWidth="1"/>
    <col min="4" max="4" width="14.140625" style="59" customWidth="1"/>
    <col min="5" max="16384" width="9.140625" style="58"/>
  </cols>
  <sheetData>
    <row r="1" spans="1:4" ht="15.75">
      <c r="D1" s="245" t="s">
        <v>122</v>
      </c>
    </row>
    <row r="2" spans="1:4" ht="15.75">
      <c r="D2" s="245" t="s">
        <v>242</v>
      </c>
    </row>
    <row r="3" spans="1:4" ht="13.5" customHeight="1">
      <c r="C3" s="58"/>
      <c r="D3" s="245" t="s">
        <v>565</v>
      </c>
    </row>
    <row r="4" spans="1:4" ht="15.75" customHeight="1">
      <c r="C4" s="64"/>
      <c r="D4" s="245" t="s">
        <v>566</v>
      </c>
    </row>
    <row r="5" spans="1:4" ht="14.25" customHeight="1">
      <c r="C5" s="64"/>
      <c r="D5" s="245" t="str">
        <f>'Приложение 1'!D5</f>
        <v>от "___" _____________ 2019 года</v>
      </c>
    </row>
    <row r="7" spans="1:4" ht="109.5" customHeight="1">
      <c r="A7" s="247" t="s">
        <v>491</v>
      </c>
      <c r="B7" s="247"/>
      <c r="C7" s="247"/>
      <c r="D7" s="247"/>
    </row>
    <row r="8" spans="1:4">
      <c r="A8" s="60"/>
      <c r="B8" s="60"/>
      <c r="D8" s="63" t="s">
        <v>141</v>
      </c>
    </row>
    <row r="9" spans="1:4" s="61" customFormat="1" ht="31.5">
      <c r="A9" s="95" t="s">
        <v>267</v>
      </c>
      <c r="B9" s="95" t="s">
        <v>268</v>
      </c>
      <c r="C9" s="95" t="s">
        <v>269</v>
      </c>
      <c r="D9" s="95" t="s">
        <v>247</v>
      </c>
    </row>
    <row r="10" spans="1:4" s="61" customFormat="1" ht="15.75">
      <c r="A10" s="95"/>
      <c r="B10" s="96" t="s">
        <v>270</v>
      </c>
      <c r="C10" s="111">
        <f>C11+C47</f>
        <v>96745.900000000009</v>
      </c>
      <c r="D10" s="111">
        <f>D11+D47</f>
        <v>98024.3</v>
      </c>
    </row>
    <row r="11" spans="1:4" ht="15.75" customHeight="1">
      <c r="A11" s="101" t="s">
        <v>172</v>
      </c>
      <c r="B11" s="77" t="s">
        <v>173</v>
      </c>
      <c r="C11" s="80">
        <f>C12+C17+C25+C30+C37+C45</f>
        <v>94157.000000000015</v>
      </c>
      <c r="D11" s="80">
        <f>D12+D17+D25+D30+D37+D45</f>
        <v>95490.1</v>
      </c>
    </row>
    <row r="12" spans="1:4" ht="15.75" customHeight="1">
      <c r="A12" s="101" t="s">
        <v>174</v>
      </c>
      <c r="B12" s="77" t="s">
        <v>175</v>
      </c>
      <c r="C12" s="80">
        <f>C13</f>
        <v>37680.400000000001</v>
      </c>
      <c r="D12" s="80">
        <f>D13</f>
        <v>39937.300000000003</v>
      </c>
    </row>
    <row r="13" spans="1:4" ht="14.25" customHeight="1">
      <c r="A13" s="102" t="s">
        <v>176</v>
      </c>
      <c r="B13" s="78" t="s">
        <v>177</v>
      </c>
      <c r="C13" s="82">
        <f>SUM(C14:C16)</f>
        <v>37680.400000000001</v>
      </c>
      <c r="D13" s="82">
        <f>SUM(D14:D16)</f>
        <v>39937.300000000003</v>
      </c>
    </row>
    <row r="14" spans="1:4" ht="126">
      <c r="A14" s="102" t="s">
        <v>178</v>
      </c>
      <c r="B14" s="90" t="s">
        <v>482</v>
      </c>
      <c r="C14" s="82">
        <v>37461</v>
      </c>
      <c r="D14" s="82">
        <v>39708.6</v>
      </c>
    </row>
    <row r="15" spans="1:4" ht="204.75">
      <c r="A15" s="102" t="s">
        <v>179</v>
      </c>
      <c r="B15" s="90" t="s">
        <v>483</v>
      </c>
      <c r="C15" s="82">
        <v>110.8</v>
      </c>
      <c r="D15" s="82">
        <v>110.3</v>
      </c>
    </row>
    <row r="16" spans="1:4" ht="78.75">
      <c r="A16" s="102" t="s">
        <v>180</v>
      </c>
      <c r="B16" s="90" t="s">
        <v>484</v>
      </c>
      <c r="C16" s="82">
        <v>108.6</v>
      </c>
      <c r="D16" s="82">
        <v>118.4</v>
      </c>
    </row>
    <row r="17" spans="1:4" ht="16.5" customHeight="1">
      <c r="A17" s="101" t="s">
        <v>181</v>
      </c>
      <c r="B17" s="92" t="s">
        <v>182</v>
      </c>
      <c r="C17" s="80">
        <f>C18+C20</f>
        <v>45599.199999999997</v>
      </c>
      <c r="D17" s="80">
        <f>D18+D20</f>
        <v>45733.3</v>
      </c>
    </row>
    <row r="18" spans="1:4" ht="16.5" customHeight="1">
      <c r="A18" s="101" t="s">
        <v>183</v>
      </c>
      <c r="B18" s="92" t="s">
        <v>184</v>
      </c>
      <c r="C18" s="80">
        <f>C19</f>
        <v>2370</v>
      </c>
      <c r="D18" s="80">
        <f>D19</f>
        <v>2658</v>
      </c>
    </row>
    <row r="19" spans="1:4" ht="78.75">
      <c r="A19" s="102" t="s">
        <v>185</v>
      </c>
      <c r="B19" s="91" t="s">
        <v>186</v>
      </c>
      <c r="C19" s="82">
        <v>2370</v>
      </c>
      <c r="D19" s="82">
        <v>2658</v>
      </c>
    </row>
    <row r="20" spans="1:4" ht="15.75" customHeight="1">
      <c r="A20" s="101" t="s">
        <v>187</v>
      </c>
      <c r="B20" s="92" t="s">
        <v>188</v>
      </c>
      <c r="C20" s="80">
        <f>C21+C23</f>
        <v>43229.2</v>
      </c>
      <c r="D20" s="80">
        <f>D21+D23</f>
        <v>43075.3</v>
      </c>
    </row>
    <row r="21" spans="1:4" ht="14.25" customHeight="1">
      <c r="A21" s="102" t="s">
        <v>189</v>
      </c>
      <c r="B21" s="97" t="s">
        <v>190</v>
      </c>
      <c r="C21" s="82">
        <f>C22</f>
        <v>40327.599999999999</v>
      </c>
      <c r="D21" s="82">
        <f>D22</f>
        <v>39586.9</v>
      </c>
    </row>
    <row r="22" spans="1:4" ht="63">
      <c r="A22" s="102" t="s">
        <v>191</v>
      </c>
      <c r="B22" s="97" t="s">
        <v>192</v>
      </c>
      <c r="C22" s="82">
        <v>40327.599999999999</v>
      </c>
      <c r="D22" s="82">
        <v>39586.9</v>
      </c>
    </row>
    <row r="23" spans="1:4" ht="15.75">
      <c r="A23" s="102" t="s">
        <v>193</v>
      </c>
      <c r="B23" s="97" t="s">
        <v>194</v>
      </c>
      <c r="C23" s="82">
        <f>C24</f>
        <v>2901.6</v>
      </c>
      <c r="D23" s="82">
        <f>D24</f>
        <v>3488.4</v>
      </c>
    </row>
    <row r="24" spans="1:4" ht="63">
      <c r="A24" s="102" t="s">
        <v>195</v>
      </c>
      <c r="B24" s="97" t="s">
        <v>196</v>
      </c>
      <c r="C24" s="82">
        <v>2901.6</v>
      </c>
      <c r="D24" s="82">
        <v>3488.4</v>
      </c>
    </row>
    <row r="25" spans="1:4" ht="94.5">
      <c r="A25" s="101" t="s">
        <v>197</v>
      </c>
      <c r="B25" s="92" t="s">
        <v>198</v>
      </c>
      <c r="C25" s="80">
        <f>C26+C28</f>
        <v>5132.7</v>
      </c>
      <c r="D25" s="80">
        <f>D27+D29</f>
        <v>3235.8</v>
      </c>
    </row>
    <row r="26" spans="1:4" s="62" customFormat="1" ht="157.5">
      <c r="A26" s="102" t="s">
        <v>199</v>
      </c>
      <c r="B26" s="90" t="s">
        <v>200</v>
      </c>
      <c r="C26" s="82">
        <f>C27</f>
        <v>3712.5</v>
      </c>
      <c r="D26" s="82">
        <f>D27</f>
        <v>2265.8000000000002</v>
      </c>
    </row>
    <row r="27" spans="1:4" ht="141.75">
      <c r="A27" s="102" t="s">
        <v>201</v>
      </c>
      <c r="B27" s="97" t="s">
        <v>202</v>
      </c>
      <c r="C27" s="82">
        <v>3712.5</v>
      </c>
      <c r="D27" s="82">
        <v>2265.8000000000002</v>
      </c>
    </row>
    <row r="28" spans="1:4" ht="141.75">
      <c r="A28" s="102" t="s">
        <v>203</v>
      </c>
      <c r="B28" s="97" t="s">
        <v>204</v>
      </c>
      <c r="C28" s="82">
        <f>C29</f>
        <v>1420.2</v>
      </c>
      <c r="D28" s="82">
        <f>D29</f>
        <v>970</v>
      </c>
    </row>
    <row r="29" spans="1:4" ht="157.5">
      <c r="A29" s="102" t="s">
        <v>205</v>
      </c>
      <c r="B29" s="90" t="s">
        <v>206</v>
      </c>
      <c r="C29" s="82">
        <v>1420.2</v>
      </c>
      <c r="D29" s="82">
        <v>970</v>
      </c>
    </row>
    <row r="30" spans="1:4" ht="47.25">
      <c r="A30" s="101" t="s">
        <v>207</v>
      </c>
      <c r="B30" s="92" t="s">
        <v>208</v>
      </c>
      <c r="C30" s="80">
        <f>C31+C34</f>
        <v>4513</v>
      </c>
      <c r="D30" s="80">
        <f>D31+D34</f>
        <v>5530.7</v>
      </c>
    </row>
    <row r="31" spans="1:4" ht="63">
      <c r="A31" s="102" t="s">
        <v>209</v>
      </c>
      <c r="B31" s="90" t="s">
        <v>210</v>
      </c>
      <c r="C31" s="82">
        <f>C32</f>
        <v>4500</v>
      </c>
      <c r="D31" s="82">
        <f>D32</f>
        <v>5517.9</v>
      </c>
    </row>
    <row r="32" spans="1:4" ht="63">
      <c r="A32" s="102" t="s">
        <v>211</v>
      </c>
      <c r="B32" s="90" t="s">
        <v>212</v>
      </c>
      <c r="C32" s="82">
        <f>C33</f>
        <v>4500</v>
      </c>
      <c r="D32" s="82">
        <f>D33</f>
        <v>5517.9</v>
      </c>
    </row>
    <row r="33" spans="1:4" ht="94.5">
      <c r="A33" s="102" t="s">
        <v>213</v>
      </c>
      <c r="B33" s="90" t="s">
        <v>214</v>
      </c>
      <c r="C33" s="82">
        <v>4500</v>
      </c>
      <c r="D33" s="82">
        <v>5517.9</v>
      </c>
    </row>
    <row r="34" spans="1:4" ht="126">
      <c r="A34" s="102" t="s">
        <v>312</v>
      </c>
      <c r="B34" s="90" t="s">
        <v>311</v>
      </c>
      <c r="C34" s="82">
        <f>C35</f>
        <v>13</v>
      </c>
      <c r="D34" s="82">
        <f>D35</f>
        <v>12.8</v>
      </c>
    </row>
    <row r="35" spans="1:4" ht="126">
      <c r="A35" s="102" t="s">
        <v>310</v>
      </c>
      <c r="B35" s="90" t="s">
        <v>309</v>
      </c>
      <c r="C35" s="82">
        <f>C36</f>
        <v>13</v>
      </c>
      <c r="D35" s="82">
        <f>D36</f>
        <v>12.8</v>
      </c>
    </row>
    <row r="36" spans="1:4" ht="157.5">
      <c r="A36" s="102" t="s">
        <v>308</v>
      </c>
      <c r="B36" s="90" t="s">
        <v>301</v>
      </c>
      <c r="C36" s="82">
        <v>13</v>
      </c>
      <c r="D36" s="82">
        <v>12.8</v>
      </c>
    </row>
    <row r="37" spans="1:4" ht="31.5">
      <c r="A37" s="101" t="s">
        <v>215</v>
      </c>
      <c r="B37" s="92" t="s">
        <v>216</v>
      </c>
      <c r="C37" s="80">
        <f>C38+C40+C43</f>
        <v>199.6</v>
      </c>
      <c r="D37" s="80">
        <f>D38+D40+D43</f>
        <v>186.2</v>
      </c>
    </row>
    <row r="38" spans="1:4" ht="110.25">
      <c r="A38" s="102" t="s">
        <v>416</v>
      </c>
      <c r="B38" s="90" t="s">
        <v>417</v>
      </c>
      <c r="C38" s="82">
        <f>C39</f>
        <v>139.1</v>
      </c>
      <c r="D38" s="82">
        <f>D39</f>
        <v>123.2</v>
      </c>
    </row>
    <row r="39" spans="1:4" ht="110.25">
      <c r="A39" s="102" t="s">
        <v>415</v>
      </c>
      <c r="B39" s="90" t="s">
        <v>414</v>
      </c>
      <c r="C39" s="82">
        <v>139.1</v>
      </c>
      <c r="D39" s="82">
        <v>123.2</v>
      </c>
    </row>
    <row r="40" spans="1:4" ht="47.25">
      <c r="A40" s="102" t="s">
        <v>307</v>
      </c>
      <c r="B40" s="90" t="s">
        <v>306</v>
      </c>
      <c r="C40" s="82">
        <f>C41</f>
        <v>55.5</v>
      </c>
      <c r="D40" s="82">
        <f>D41</f>
        <v>58</v>
      </c>
    </row>
    <row r="41" spans="1:4" ht="78.75">
      <c r="A41" s="102" t="s">
        <v>305</v>
      </c>
      <c r="B41" s="90" t="s">
        <v>304</v>
      </c>
      <c r="C41" s="82">
        <f>C42</f>
        <v>55.5</v>
      </c>
      <c r="D41" s="82">
        <f>D42</f>
        <v>58</v>
      </c>
    </row>
    <row r="42" spans="1:4" ht="94.5">
      <c r="A42" s="102" t="s">
        <v>303</v>
      </c>
      <c r="B42" s="90" t="s">
        <v>302</v>
      </c>
      <c r="C42" s="82">
        <v>55.5</v>
      </c>
      <c r="D42" s="82">
        <v>58</v>
      </c>
    </row>
    <row r="43" spans="1:4" ht="47.25">
      <c r="A43" s="102" t="s">
        <v>496</v>
      </c>
      <c r="B43" s="90" t="s">
        <v>497</v>
      </c>
      <c r="C43" s="82">
        <f>C44</f>
        <v>5</v>
      </c>
      <c r="D43" s="82">
        <f>D44</f>
        <v>5</v>
      </c>
    </row>
    <row r="44" spans="1:4" ht="63">
      <c r="A44" s="102" t="s">
        <v>495</v>
      </c>
      <c r="B44" s="90" t="s">
        <v>487</v>
      </c>
      <c r="C44" s="82">
        <v>5</v>
      </c>
      <c r="D44" s="82">
        <v>5</v>
      </c>
    </row>
    <row r="45" spans="1:4" ht="31.5">
      <c r="A45" s="101" t="s">
        <v>217</v>
      </c>
      <c r="B45" s="92" t="s">
        <v>218</v>
      </c>
      <c r="C45" s="80">
        <f>C46</f>
        <v>1032.0999999999999</v>
      </c>
      <c r="D45" s="80">
        <f>D46</f>
        <v>866.8</v>
      </c>
    </row>
    <row r="46" spans="1:4" ht="31.5">
      <c r="A46" s="102" t="s">
        <v>219</v>
      </c>
      <c r="B46" s="90" t="s">
        <v>220</v>
      </c>
      <c r="C46" s="82">
        <v>1032.0999999999999</v>
      </c>
      <c r="D46" s="82">
        <v>866.8</v>
      </c>
    </row>
    <row r="47" spans="1:4" ht="31.5">
      <c r="A47" s="101" t="s">
        <v>221</v>
      </c>
      <c r="B47" s="92" t="s">
        <v>222</v>
      </c>
      <c r="C47" s="80">
        <f>C48+C63+C66+C69</f>
        <v>2588.9</v>
      </c>
      <c r="D47" s="80">
        <f>D48+D63+D66+D69</f>
        <v>2534.1999999999998</v>
      </c>
    </row>
    <row r="48" spans="1:4" ht="78.75">
      <c r="A48" s="103" t="s">
        <v>223</v>
      </c>
      <c r="B48" s="98" t="s">
        <v>224</v>
      </c>
      <c r="C48" s="80">
        <f>C49+C52+C55</f>
        <v>2505</v>
      </c>
      <c r="D48" s="80">
        <f>D49+D52+D55</f>
        <v>2432.7999999999997</v>
      </c>
    </row>
    <row r="49" spans="1:4" ht="47.25">
      <c r="A49" s="103" t="s">
        <v>225</v>
      </c>
      <c r="B49" s="98" t="s">
        <v>226</v>
      </c>
      <c r="C49" s="80">
        <f>C50</f>
        <v>50</v>
      </c>
      <c r="D49" s="80">
        <f>D50</f>
        <v>50</v>
      </c>
    </row>
    <row r="50" spans="1:4" ht="31.5">
      <c r="A50" s="153" t="s">
        <v>419</v>
      </c>
      <c r="B50" s="93" t="s">
        <v>418</v>
      </c>
      <c r="C50" s="82">
        <f>C51</f>
        <v>50</v>
      </c>
      <c r="D50" s="82">
        <f>D51</f>
        <v>50</v>
      </c>
    </row>
    <row r="51" spans="1:4" ht="31.5">
      <c r="A51" s="153" t="s">
        <v>420</v>
      </c>
      <c r="B51" s="93" t="s">
        <v>411</v>
      </c>
      <c r="C51" s="82">
        <v>50</v>
      </c>
      <c r="D51" s="82">
        <v>50</v>
      </c>
    </row>
    <row r="52" spans="1:4" ht="31.5">
      <c r="A52" s="103" t="s">
        <v>476</v>
      </c>
      <c r="B52" s="98" t="s">
        <v>477</v>
      </c>
      <c r="C52" s="80">
        <f>C53</f>
        <v>399.1</v>
      </c>
      <c r="D52" s="80">
        <f>D53</f>
        <v>399.1</v>
      </c>
    </row>
    <row r="53" spans="1:4" ht="63">
      <c r="A53" s="105" t="s">
        <v>475</v>
      </c>
      <c r="B53" s="93" t="s">
        <v>227</v>
      </c>
      <c r="C53" s="82">
        <f>C54</f>
        <v>399.1</v>
      </c>
      <c r="D53" s="82">
        <f>D54</f>
        <v>399.1</v>
      </c>
    </row>
    <row r="54" spans="1:4" s="62" customFormat="1" ht="78.75">
      <c r="A54" s="104" t="s">
        <v>474</v>
      </c>
      <c r="B54" s="93" t="s">
        <v>228</v>
      </c>
      <c r="C54" s="82">
        <v>399.1</v>
      </c>
      <c r="D54" s="82">
        <v>399.1</v>
      </c>
    </row>
    <row r="55" spans="1:4" s="62" customFormat="1" ht="15.75">
      <c r="A55" s="106" t="s">
        <v>229</v>
      </c>
      <c r="B55" s="99" t="s">
        <v>230</v>
      </c>
      <c r="C55" s="80">
        <f>C56+C57</f>
        <v>2055.9</v>
      </c>
      <c r="D55" s="80">
        <f>D56+D57</f>
        <v>1983.6999999999998</v>
      </c>
    </row>
    <row r="56" spans="1:4" ht="94.5" hidden="1">
      <c r="A56" s="106" t="s">
        <v>231</v>
      </c>
      <c r="B56" s="100" t="s">
        <v>232</v>
      </c>
      <c r="C56" s="82"/>
      <c r="D56" s="82"/>
    </row>
    <row r="57" spans="1:4" ht="47.25">
      <c r="A57" s="106" t="s">
        <v>473</v>
      </c>
      <c r="B57" s="99" t="s">
        <v>233</v>
      </c>
      <c r="C57" s="80">
        <f>SUM(C58:C62)</f>
        <v>2055.9</v>
      </c>
      <c r="D57" s="80">
        <f>SUM(D58:D62)</f>
        <v>1983.6999999999998</v>
      </c>
    </row>
    <row r="58" spans="1:4" ht="110.25">
      <c r="A58" s="104"/>
      <c r="B58" s="93" t="s">
        <v>492</v>
      </c>
      <c r="C58" s="82">
        <v>382.4</v>
      </c>
      <c r="D58" s="82">
        <v>354.9</v>
      </c>
    </row>
    <row r="59" spans="1:4" ht="47.25">
      <c r="A59" s="104"/>
      <c r="B59" s="93" t="s">
        <v>421</v>
      </c>
      <c r="C59" s="82">
        <v>514.9</v>
      </c>
      <c r="D59" s="82">
        <v>470.2</v>
      </c>
    </row>
    <row r="60" spans="1:4" ht="63">
      <c r="A60" s="107"/>
      <c r="B60" s="90" t="s">
        <v>387</v>
      </c>
      <c r="C60" s="82">
        <v>32.5</v>
      </c>
      <c r="D60" s="82">
        <v>32.5</v>
      </c>
    </row>
    <row r="61" spans="1:4" ht="47.25">
      <c r="A61" s="107"/>
      <c r="B61" s="90" t="s">
        <v>493</v>
      </c>
      <c r="C61" s="82">
        <v>47.1</v>
      </c>
      <c r="D61" s="82">
        <v>47.1</v>
      </c>
    </row>
    <row r="62" spans="1:4" ht="173.25">
      <c r="A62" s="108"/>
      <c r="B62" s="90" t="s">
        <v>494</v>
      </c>
      <c r="C62" s="82">
        <v>1079</v>
      </c>
      <c r="D62" s="82">
        <v>1079</v>
      </c>
    </row>
    <row r="63" spans="1:4" ht="63">
      <c r="A63" s="106" t="s">
        <v>234</v>
      </c>
      <c r="B63" s="100" t="s">
        <v>235</v>
      </c>
      <c r="C63" s="80">
        <f>C64</f>
        <v>41.9</v>
      </c>
      <c r="D63" s="80">
        <f>D64</f>
        <v>41.9</v>
      </c>
    </row>
    <row r="64" spans="1:4" ht="47.25">
      <c r="A64" s="109" t="s">
        <v>498</v>
      </c>
      <c r="B64" s="176" t="s">
        <v>499</v>
      </c>
      <c r="C64" s="82">
        <f>C65</f>
        <v>41.9</v>
      </c>
      <c r="D64" s="82">
        <f>D65</f>
        <v>41.9</v>
      </c>
    </row>
    <row r="65" spans="1:4" ht="78.75">
      <c r="A65" s="109" t="s">
        <v>236</v>
      </c>
      <c r="B65" s="90" t="s">
        <v>237</v>
      </c>
      <c r="C65" s="82">
        <v>41.9</v>
      </c>
      <c r="D65" s="82">
        <v>41.9</v>
      </c>
    </row>
    <row r="66" spans="1:4" ht="31.5">
      <c r="A66" s="110" t="s">
        <v>238</v>
      </c>
      <c r="B66" s="100" t="s">
        <v>239</v>
      </c>
      <c r="C66" s="80">
        <f>C67</f>
        <v>28</v>
      </c>
      <c r="D66" s="80">
        <f>D67</f>
        <v>45.5</v>
      </c>
    </row>
    <row r="67" spans="1:4" ht="31.5">
      <c r="A67" s="109" t="s">
        <v>500</v>
      </c>
      <c r="B67" s="176" t="s">
        <v>501</v>
      </c>
      <c r="C67" s="82">
        <f>C68</f>
        <v>28</v>
      </c>
      <c r="D67" s="82">
        <f>D68</f>
        <v>45.5</v>
      </c>
    </row>
    <row r="68" spans="1:4" ht="78.75">
      <c r="A68" s="109" t="s">
        <v>240</v>
      </c>
      <c r="B68" s="90" t="s">
        <v>241</v>
      </c>
      <c r="C68" s="82">
        <v>28</v>
      </c>
      <c r="D68" s="82">
        <v>45.5</v>
      </c>
    </row>
    <row r="69" spans="1:4" ht="220.5">
      <c r="A69" s="110" t="s">
        <v>502</v>
      </c>
      <c r="B69" s="100" t="s">
        <v>503</v>
      </c>
      <c r="C69" s="80">
        <f t="shared" ref="C69:D71" si="0">C70</f>
        <v>14</v>
      </c>
      <c r="D69" s="80">
        <f t="shared" si="0"/>
        <v>14</v>
      </c>
    </row>
    <row r="70" spans="1:4" ht="126">
      <c r="A70" s="109" t="s">
        <v>504</v>
      </c>
      <c r="B70" s="176" t="s">
        <v>505</v>
      </c>
      <c r="C70" s="82">
        <f t="shared" si="0"/>
        <v>14</v>
      </c>
      <c r="D70" s="82">
        <f t="shared" si="0"/>
        <v>14</v>
      </c>
    </row>
    <row r="71" spans="1:4" ht="110.25">
      <c r="A71" s="109" t="s">
        <v>506</v>
      </c>
      <c r="B71" s="90" t="s">
        <v>507</v>
      </c>
      <c r="C71" s="82">
        <f t="shared" si="0"/>
        <v>14</v>
      </c>
      <c r="D71" s="82">
        <f t="shared" si="0"/>
        <v>14</v>
      </c>
    </row>
    <row r="72" spans="1:4" ht="110.25">
      <c r="A72" s="109" t="s">
        <v>508</v>
      </c>
      <c r="B72" s="90" t="s">
        <v>489</v>
      </c>
      <c r="C72" s="82">
        <v>14</v>
      </c>
      <c r="D72" s="82">
        <v>14</v>
      </c>
    </row>
  </sheetData>
  <mergeCells count="1">
    <mergeCell ref="A7:D7"/>
  </mergeCells>
  <pageMargins left="0.74803149606299213" right="0.55118110236220474" top="0.31496062992125984" bottom="0.23622047244094491" header="0.51181102362204722" footer="0.51181102362204722"/>
  <pageSetup paperSize="9" scale="8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view="pageBreakPreview" zoomScaleNormal="100" zoomScaleSheetLayoutView="100" workbookViewId="0">
      <selection activeCell="D1" sqref="D1:D5"/>
    </sheetView>
  </sheetViews>
  <sheetFormatPr defaultRowHeight="15.75"/>
  <cols>
    <col min="1" max="1" width="3.7109375" style="66" customWidth="1"/>
    <col min="2" max="2" width="64" style="66" customWidth="1"/>
    <col min="3" max="3" width="20.140625" style="66" customWidth="1"/>
    <col min="4" max="4" width="12.5703125" style="66" customWidth="1"/>
    <col min="5" max="16384" width="9.140625" style="66"/>
  </cols>
  <sheetData>
    <row r="1" spans="1:4" s="3" customFormat="1">
      <c r="C1" s="4"/>
      <c r="D1" s="245" t="s">
        <v>28</v>
      </c>
    </row>
    <row r="2" spans="1:4" s="3" customFormat="1">
      <c r="C2" s="4"/>
      <c r="D2" s="245" t="s">
        <v>242</v>
      </c>
    </row>
    <row r="3" spans="1:4" s="3" customFormat="1">
      <c r="C3" s="4"/>
      <c r="D3" s="245" t="s">
        <v>565</v>
      </c>
    </row>
    <row r="4" spans="1:4" s="3" customFormat="1">
      <c r="B4" s="65"/>
      <c r="C4" s="4"/>
      <c r="D4" s="245" t="s">
        <v>566</v>
      </c>
    </row>
    <row r="5" spans="1:4" s="3" customFormat="1">
      <c r="C5" s="4"/>
      <c r="D5" s="245" t="str">
        <f>'Приложение 1'!D5</f>
        <v>от "___" _____________ 2019 года</v>
      </c>
    </row>
    <row r="6" spans="1:4">
      <c r="C6" s="67"/>
    </row>
    <row r="7" spans="1:4" ht="130.5" customHeight="1">
      <c r="A7" s="251" t="s">
        <v>509</v>
      </c>
      <c r="B7" s="251"/>
      <c r="C7" s="251"/>
      <c r="D7" s="251"/>
    </row>
    <row r="8" spans="1:4" ht="20.25" customHeight="1">
      <c r="A8" s="112"/>
      <c r="B8" s="112"/>
      <c r="C8" s="112"/>
      <c r="D8" s="114"/>
    </row>
    <row r="9" spans="1:4">
      <c r="A9" s="112"/>
      <c r="B9" s="112"/>
      <c r="C9" s="69"/>
      <c r="D9" s="70" t="s">
        <v>141</v>
      </c>
    </row>
    <row r="10" spans="1:4" ht="189">
      <c r="A10" s="222"/>
      <c r="B10" s="222" t="s">
        <v>268</v>
      </c>
      <c r="C10" s="223" t="s">
        <v>511</v>
      </c>
      <c r="D10" s="223" t="s">
        <v>247</v>
      </c>
    </row>
    <row r="11" spans="1:4" s="68" customFormat="1" ht="31.5">
      <c r="A11" s="219">
        <v>1</v>
      </c>
      <c r="B11" s="219" t="s">
        <v>403</v>
      </c>
      <c r="C11" s="224">
        <f>'Приложение 6'!J46</f>
        <v>158.19999999999999</v>
      </c>
      <c r="D11" s="224">
        <f>'Приложение 6'!K46</f>
        <v>158.19999999999999</v>
      </c>
    </row>
    <row r="12" spans="1:4" s="68" customFormat="1" ht="47.25">
      <c r="A12" s="219">
        <v>2</v>
      </c>
      <c r="B12" s="219" t="s">
        <v>402</v>
      </c>
      <c r="C12" s="225">
        <f>'Приложение 6'!J45</f>
        <v>135.5</v>
      </c>
      <c r="D12" s="225">
        <f>'Приложение 6'!K45</f>
        <v>135.5</v>
      </c>
    </row>
    <row r="13" spans="1:4" s="68" customFormat="1" ht="31.5">
      <c r="A13" s="219">
        <v>3</v>
      </c>
      <c r="B13" s="219" t="s">
        <v>399</v>
      </c>
      <c r="C13" s="225">
        <f>'Приложение 6'!J33</f>
        <v>182.5</v>
      </c>
      <c r="D13" s="225">
        <f>'Приложение 6'!K33</f>
        <v>94.9</v>
      </c>
    </row>
    <row r="14" spans="1:4" s="68" customFormat="1" ht="103.5" customHeight="1">
      <c r="A14" s="219">
        <v>4</v>
      </c>
      <c r="B14" s="219" t="s">
        <v>400</v>
      </c>
      <c r="C14" s="225">
        <f>'Приложение 6'!J35</f>
        <v>85.4</v>
      </c>
      <c r="D14" s="225">
        <f>'Приложение 6'!K35</f>
        <v>85.4</v>
      </c>
    </row>
    <row r="15" spans="1:4" s="68" customFormat="1" ht="63">
      <c r="A15" s="219">
        <v>5</v>
      </c>
      <c r="B15" s="219" t="s">
        <v>556</v>
      </c>
      <c r="C15" s="225">
        <f>'Приложение 6'!J37</f>
        <v>68.3</v>
      </c>
      <c r="D15" s="225">
        <f>'Приложение 6'!K37</f>
        <v>68.3</v>
      </c>
    </row>
    <row r="16" spans="1:4" s="68" customFormat="1">
      <c r="A16" s="219">
        <v>6</v>
      </c>
      <c r="B16" s="219" t="s">
        <v>401</v>
      </c>
      <c r="C16" s="225">
        <f>'Приложение 6'!J41</f>
        <v>108.9</v>
      </c>
      <c r="D16" s="225">
        <f>'Приложение 6'!K41</f>
        <v>108.9</v>
      </c>
    </row>
    <row r="17" spans="1:4" s="68" customFormat="1" ht="31.5">
      <c r="A17" s="219">
        <v>7</v>
      </c>
      <c r="B17" s="219" t="s">
        <v>557</v>
      </c>
      <c r="C17" s="225">
        <f>'Приложение 6'!J43</f>
        <v>85.4</v>
      </c>
      <c r="D17" s="225">
        <f>'Приложение 6'!K43</f>
        <v>85.4</v>
      </c>
    </row>
    <row r="18" spans="1:4" s="68" customFormat="1" ht="47.25">
      <c r="A18" s="219">
        <v>8</v>
      </c>
      <c r="B18" s="219" t="s">
        <v>404</v>
      </c>
      <c r="C18" s="225">
        <f>'Приложение 6'!J131</f>
        <v>35.200000000000003</v>
      </c>
      <c r="D18" s="225">
        <f>'Приложение 6'!K131</f>
        <v>35.200000000000003</v>
      </c>
    </row>
    <row r="19" spans="1:4" s="68" customFormat="1" ht="94.5">
      <c r="A19" s="219">
        <v>9</v>
      </c>
      <c r="B19" s="219" t="s">
        <v>539</v>
      </c>
      <c r="C19" s="225">
        <f>'Приложение 6'!J218</f>
        <v>1327.9</v>
      </c>
      <c r="D19" s="225">
        <f>'Приложение 6'!K218</f>
        <v>1171.3</v>
      </c>
    </row>
    <row r="20" spans="1:4" s="68" customFormat="1" ht="78.75">
      <c r="A20" s="219">
        <v>10</v>
      </c>
      <c r="B20" s="219" t="s">
        <v>558</v>
      </c>
      <c r="C20" s="225">
        <f>'Приложение 6'!J260</f>
        <v>92.8</v>
      </c>
      <c r="D20" s="225">
        <f>'Приложение 6'!K260</f>
        <v>92.7</v>
      </c>
    </row>
    <row r="21" spans="1:4" s="68" customFormat="1" ht="346.5">
      <c r="A21" s="219">
        <v>11</v>
      </c>
      <c r="B21" s="219" t="s">
        <v>515</v>
      </c>
      <c r="C21" s="225">
        <f>'Приложение 6'!J39</f>
        <v>4.7</v>
      </c>
      <c r="D21" s="225">
        <f>'Приложение 6'!K39</f>
        <v>4.7</v>
      </c>
    </row>
    <row r="22" spans="1:4">
      <c r="A22" s="220"/>
      <c r="B22" s="221" t="s">
        <v>146</v>
      </c>
      <c r="C22" s="226">
        <f>SUM(C11:C21)</f>
        <v>2284.8000000000002</v>
      </c>
      <c r="D22" s="226">
        <f>SUM(D11:D21)</f>
        <v>2040.5</v>
      </c>
    </row>
    <row r="23" spans="1:4">
      <c r="A23" s="113"/>
      <c r="B23" s="113"/>
      <c r="C23" s="113"/>
      <c r="D23" s="113"/>
    </row>
  </sheetData>
  <mergeCells count="1">
    <mergeCell ref="A7:D7"/>
  </mergeCells>
  <pageMargins left="0.74803149606299213" right="0.47244094488188981" top="0.86614173228346458" bottom="0.98425196850393704" header="0.51181102362204722" footer="0.51181102362204722"/>
  <pageSetup paperSize="9" scale="91" fitToHeight="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view="pageBreakPreview" topLeftCell="A22" zoomScaleNormal="100" zoomScaleSheetLayoutView="100" workbookViewId="0">
      <selection activeCell="E1" sqref="E1:E5"/>
    </sheetView>
  </sheetViews>
  <sheetFormatPr defaultRowHeight="12.75"/>
  <cols>
    <col min="1" max="1" width="45.140625" style="116" customWidth="1"/>
    <col min="2" max="2" width="4.28515625" style="116" customWidth="1"/>
    <col min="3" max="3" width="4.85546875" style="116" customWidth="1"/>
    <col min="4" max="4" width="21.85546875" style="116" customWidth="1"/>
    <col min="5" max="5" width="12.5703125" style="116" customWidth="1"/>
    <col min="6" max="217" width="9.140625" style="116" customWidth="1"/>
    <col min="218" max="16384" width="9.140625" style="116"/>
  </cols>
  <sheetData>
    <row r="1" spans="1:9" ht="15.75">
      <c r="E1" s="245" t="s">
        <v>29</v>
      </c>
    </row>
    <row r="2" spans="1:9" ht="15.75">
      <c r="E2" s="245" t="s">
        <v>242</v>
      </c>
    </row>
    <row r="3" spans="1:9" ht="15.75">
      <c r="E3" s="245" t="s">
        <v>565</v>
      </c>
    </row>
    <row r="4" spans="1:9" ht="15.75">
      <c r="E4" s="245" t="s">
        <v>566</v>
      </c>
    </row>
    <row r="5" spans="1:9" ht="15.75">
      <c r="E5" s="245" t="str">
        <f>'Приложение 1'!D5</f>
        <v>от "___" _____________ 2019 года</v>
      </c>
    </row>
    <row r="7" spans="1:9" ht="71.25" customHeight="1">
      <c r="A7" s="252" t="s">
        <v>555</v>
      </c>
      <c r="B7" s="252"/>
      <c r="C7" s="252"/>
      <c r="D7" s="252"/>
      <c r="E7" s="252"/>
    </row>
    <row r="8" spans="1:9" ht="18.75">
      <c r="A8" s="117"/>
      <c r="B8" s="117"/>
      <c r="C8" s="117"/>
      <c r="D8" s="117"/>
      <c r="E8" s="227" t="s">
        <v>141</v>
      </c>
    </row>
    <row r="9" spans="1:9" ht="173.25">
      <c r="A9" s="118" t="s">
        <v>4</v>
      </c>
      <c r="B9" s="118" t="s">
        <v>271</v>
      </c>
      <c r="C9" s="118" t="s">
        <v>272</v>
      </c>
      <c r="D9" s="118" t="s">
        <v>511</v>
      </c>
      <c r="E9" s="118" t="s">
        <v>247</v>
      </c>
      <c r="F9" s="119"/>
      <c r="G9" s="119"/>
      <c r="H9" s="119"/>
      <c r="I9" s="119"/>
    </row>
    <row r="10" spans="1:9" ht="15.75">
      <c r="A10" s="46" t="s">
        <v>273</v>
      </c>
      <c r="B10" s="120">
        <v>1</v>
      </c>
      <c r="C10" s="120" t="s">
        <v>144</v>
      </c>
      <c r="D10" s="121">
        <f>SUM(D11:D15)</f>
        <v>14957.300000000003</v>
      </c>
      <c r="E10" s="121">
        <f>SUM(E11:E15)</f>
        <v>12874.5</v>
      </c>
    </row>
    <row r="11" spans="1:9" ht="78.75">
      <c r="A11" s="46" t="s">
        <v>26</v>
      </c>
      <c r="B11" s="120">
        <v>1</v>
      </c>
      <c r="C11" s="120">
        <v>3</v>
      </c>
      <c r="D11" s="121">
        <f>'Приложение 6'!J318</f>
        <v>1142.6000000000001</v>
      </c>
      <c r="E11" s="121">
        <f>'Приложение 6'!K318</f>
        <v>1140.9000000000001</v>
      </c>
    </row>
    <row r="12" spans="1:9" ht="78.75">
      <c r="A12" s="46" t="s">
        <v>14</v>
      </c>
      <c r="B12" s="120">
        <v>1</v>
      </c>
      <c r="C12" s="120">
        <v>4</v>
      </c>
      <c r="D12" s="121">
        <f>'Приложение 6'!J12</f>
        <v>7958.6</v>
      </c>
      <c r="E12" s="121">
        <f>'Приложение 6'!K12</f>
        <v>7435.7000000000007</v>
      </c>
    </row>
    <row r="13" spans="1:9" ht="63">
      <c r="A13" s="46" t="s">
        <v>329</v>
      </c>
      <c r="B13" s="120">
        <v>1</v>
      </c>
      <c r="C13" s="120">
        <v>6</v>
      </c>
      <c r="D13" s="121">
        <f>'Приложение 6'!J46</f>
        <v>158.19999999999999</v>
      </c>
      <c r="E13" s="121">
        <f>'Приложение 6'!K46</f>
        <v>158.19999999999999</v>
      </c>
    </row>
    <row r="14" spans="1:9" ht="15.75">
      <c r="A14" s="46" t="s">
        <v>0</v>
      </c>
      <c r="B14" s="120">
        <v>1</v>
      </c>
      <c r="C14" s="120">
        <v>11</v>
      </c>
      <c r="D14" s="121">
        <f>'Приложение 6'!J51</f>
        <v>275.60000000000002</v>
      </c>
      <c r="E14" s="121">
        <f>'Приложение 6'!K51</f>
        <v>0</v>
      </c>
    </row>
    <row r="15" spans="1:9" ht="15.75">
      <c r="A15" s="46" t="s">
        <v>21</v>
      </c>
      <c r="B15" s="120">
        <v>1</v>
      </c>
      <c r="C15" s="120">
        <v>13</v>
      </c>
      <c r="D15" s="121">
        <f>'Приложение 6'!J56+'Приложение 6'!J326</f>
        <v>5422.3</v>
      </c>
      <c r="E15" s="121">
        <f>'Приложение 6'!K56+'Приложение 6'!K326</f>
        <v>4139.7</v>
      </c>
    </row>
    <row r="16" spans="1:9" ht="15.75">
      <c r="A16" s="46" t="s">
        <v>274</v>
      </c>
      <c r="B16" s="120">
        <v>2</v>
      </c>
      <c r="C16" s="120" t="s">
        <v>144</v>
      </c>
      <c r="D16" s="121">
        <f>D17</f>
        <v>399.1</v>
      </c>
      <c r="E16" s="121">
        <f>E17</f>
        <v>399.1</v>
      </c>
    </row>
    <row r="17" spans="1:5" ht="31.5">
      <c r="A17" s="46" t="s">
        <v>2</v>
      </c>
      <c r="B17" s="120">
        <v>2</v>
      </c>
      <c r="C17" s="120">
        <v>3</v>
      </c>
      <c r="D17" s="121">
        <f>'Приложение 6'!J110</f>
        <v>399.1</v>
      </c>
      <c r="E17" s="121">
        <f>'Приложение 6'!K110</f>
        <v>399.1</v>
      </c>
    </row>
    <row r="18" spans="1:5" ht="31.5">
      <c r="A18" s="46" t="s">
        <v>275</v>
      </c>
      <c r="B18" s="120">
        <v>3</v>
      </c>
      <c r="C18" s="120" t="s">
        <v>144</v>
      </c>
      <c r="D18" s="121">
        <f>SUM(D19:D21)</f>
        <v>273.60000000000002</v>
      </c>
      <c r="E18" s="121">
        <f>SUM(E19:E21)</f>
        <v>142.6</v>
      </c>
    </row>
    <row r="19" spans="1:5" ht="63">
      <c r="A19" s="46" t="s">
        <v>32</v>
      </c>
      <c r="B19" s="120">
        <v>3</v>
      </c>
      <c r="C19" s="120">
        <v>9</v>
      </c>
      <c r="D19" s="121">
        <f>'Приложение 6'!J116</f>
        <v>149.19999999999999</v>
      </c>
      <c r="E19" s="121">
        <f>'Приложение 6'!K116</f>
        <v>119.7</v>
      </c>
    </row>
    <row r="20" spans="1:5" ht="15.75">
      <c r="A20" s="46" t="s">
        <v>435</v>
      </c>
      <c r="B20" s="120">
        <v>3</v>
      </c>
      <c r="C20" s="120">
        <v>10</v>
      </c>
      <c r="D20" s="121">
        <f>'Приложение 6'!J132</f>
        <v>119.4</v>
      </c>
      <c r="E20" s="121">
        <f>'Приложение 6'!K132</f>
        <v>22.9</v>
      </c>
    </row>
    <row r="21" spans="1:5" ht="47.25">
      <c r="A21" s="46" t="s">
        <v>436</v>
      </c>
      <c r="B21" s="120">
        <v>3</v>
      </c>
      <c r="C21" s="120">
        <v>14</v>
      </c>
      <c r="D21" s="121">
        <f>'Приложение 6'!J137</f>
        <v>5</v>
      </c>
      <c r="E21" s="121">
        <f>'Приложение 6'!K137</f>
        <v>0</v>
      </c>
    </row>
    <row r="22" spans="1:5" ht="15.75">
      <c r="A22" s="46" t="s">
        <v>276</v>
      </c>
      <c r="B22" s="120">
        <v>4</v>
      </c>
      <c r="C22" s="120" t="s">
        <v>144</v>
      </c>
      <c r="D22" s="121">
        <f>SUM(D23:D25)</f>
        <v>14121.000000000002</v>
      </c>
      <c r="E22" s="121">
        <f>SUM(E23:E25)</f>
        <v>12962.5</v>
      </c>
    </row>
    <row r="23" spans="1:5" ht="15.75">
      <c r="A23" s="46" t="s">
        <v>41</v>
      </c>
      <c r="B23" s="120">
        <v>4</v>
      </c>
      <c r="C23" s="120">
        <v>9</v>
      </c>
      <c r="D23" s="121">
        <f>'Приложение 6'!J142</f>
        <v>14036.900000000001</v>
      </c>
      <c r="E23" s="121">
        <f>'Приложение 6'!K142</f>
        <v>12878.4</v>
      </c>
    </row>
    <row r="24" spans="1:5" ht="15.75">
      <c r="A24" s="46" t="s">
        <v>528</v>
      </c>
      <c r="B24" s="120">
        <v>4</v>
      </c>
      <c r="C24" s="120">
        <v>10</v>
      </c>
      <c r="D24" s="121">
        <f>'Приложение 6'!J157</f>
        <v>47.1</v>
      </c>
      <c r="E24" s="121">
        <f>'Приложение 6'!K157</f>
        <v>47.1</v>
      </c>
    </row>
    <row r="25" spans="1:5" ht="31.5">
      <c r="A25" s="46" t="s">
        <v>42</v>
      </c>
      <c r="B25" s="120">
        <v>4</v>
      </c>
      <c r="C25" s="120">
        <v>12</v>
      </c>
      <c r="D25" s="121">
        <f>'Приложение 6'!J162</f>
        <v>37</v>
      </c>
      <c r="E25" s="121">
        <f>'Приложение 6'!K162</f>
        <v>37</v>
      </c>
    </row>
    <row r="26" spans="1:5" ht="15.75">
      <c r="A26" s="46" t="s">
        <v>277</v>
      </c>
      <c r="B26" s="120">
        <v>5</v>
      </c>
      <c r="C26" s="120" t="s">
        <v>144</v>
      </c>
      <c r="D26" s="121">
        <f>SUM(D27:D30)</f>
        <v>73424.100000000006</v>
      </c>
      <c r="E26" s="121">
        <f>SUM(E27:E30)</f>
        <v>47813.8</v>
      </c>
    </row>
    <row r="27" spans="1:5" ht="15.75">
      <c r="A27" s="46" t="s">
        <v>17</v>
      </c>
      <c r="B27" s="120">
        <v>5</v>
      </c>
      <c r="C27" s="120">
        <v>1</v>
      </c>
      <c r="D27" s="121">
        <f>'Приложение 6'!J167</f>
        <v>14430.300000000001</v>
      </c>
      <c r="E27" s="121">
        <f>'Приложение 6'!K167</f>
        <v>1274.2</v>
      </c>
    </row>
    <row r="28" spans="1:5" ht="15.75">
      <c r="A28" s="46" t="s">
        <v>35</v>
      </c>
      <c r="B28" s="120">
        <v>5</v>
      </c>
      <c r="C28" s="120">
        <v>2</v>
      </c>
      <c r="D28" s="121">
        <f>'Приложение 6'!J179</f>
        <v>24.4</v>
      </c>
      <c r="E28" s="121">
        <f>'Приложение 6'!K179</f>
        <v>24.3</v>
      </c>
    </row>
    <row r="29" spans="1:5" ht="15.75">
      <c r="A29" s="46" t="s">
        <v>3</v>
      </c>
      <c r="B29" s="120">
        <v>5</v>
      </c>
      <c r="C29" s="120">
        <v>3</v>
      </c>
      <c r="D29" s="121">
        <f>'Приложение 6'!J184</f>
        <v>37466</v>
      </c>
      <c r="E29" s="121">
        <f>'Приложение 6'!K184</f>
        <v>29026.000000000004</v>
      </c>
    </row>
    <row r="30" spans="1:5" ht="31.5">
      <c r="A30" s="46" t="s">
        <v>278</v>
      </c>
      <c r="B30" s="120">
        <v>5</v>
      </c>
      <c r="C30" s="120">
        <v>5</v>
      </c>
      <c r="D30" s="121">
        <f>'Приложение 6'!J219</f>
        <v>21503.4</v>
      </c>
      <c r="E30" s="121">
        <f>'Приложение 6'!K219</f>
        <v>17489.3</v>
      </c>
    </row>
    <row r="31" spans="1:5" ht="15.75">
      <c r="A31" s="46" t="s">
        <v>279</v>
      </c>
      <c r="B31" s="120">
        <v>7</v>
      </c>
      <c r="C31" s="120" t="s">
        <v>144</v>
      </c>
      <c r="D31" s="121">
        <f>SUM(D32:D33)</f>
        <v>194.6</v>
      </c>
      <c r="E31" s="121">
        <f>SUM(E32:E33)</f>
        <v>159.5</v>
      </c>
    </row>
    <row r="32" spans="1:5" ht="47.25">
      <c r="A32" s="46" t="s">
        <v>30</v>
      </c>
      <c r="B32" s="120">
        <v>7</v>
      </c>
      <c r="C32" s="120">
        <v>5</v>
      </c>
      <c r="D32" s="121">
        <f>'Приложение 6'!J237</f>
        <v>31.5</v>
      </c>
      <c r="E32" s="121">
        <f>'Приложение 6'!K237</f>
        <v>31.5</v>
      </c>
    </row>
    <row r="33" spans="1:5" ht="31.5">
      <c r="A33" s="46" t="s">
        <v>77</v>
      </c>
      <c r="B33" s="120">
        <v>7</v>
      </c>
      <c r="C33" s="120">
        <v>7</v>
      </c>
      <c r="D33" s="121">
        <f>'Приложение 6'!J241</f>
        <v>163.1</v>
      </c>
      <c r="E33" s="121">
        <f>'Приложение 6'!K241</f>
        <v>128</v>
      </c>
    </row>
    <row r="34" spans="1:5" ht="15.75">
      <c r="A34" s="46" t="s">
        <v>280</v>
      </c>
      <c r="B34" s="120">
        <v>8</v>
      </c>
      <c r="C34" s="120" t="s">
        <v>144</v>
      </c>
      <c r="D34" s="121">
        <f>SUM(D35:D36)</f>
        <v>14626.899999999998</v>
      </c>
      <c r="E34" s="121">
        <f>SUM(E35:E36)</f>
        <v>13357</v>
      </c>
    </row>
    <row r="35" spans="1:5" ht="15.75">
      <c r="A35" s="46" t="s">
        <v>20</v>
      </c>
      <c r="B35" s="120">
        <v>8</v>
      </c>
      <c r="C35" s="120">
        <v>1</v>
      </c>
      <c r="D35" s="121">
        <f>'Приложение 6'!J249</f>
        <v>13917.299999999997</v>
      </c>
      <c r="E35" s="121">
        <f>'Приложение 6'!K249</f>
        <v>12651</v>
      </c>
    </row>
    <row r="36" spans="1:5" ht="31.5">
      <c r="A36" s="46" t="s">
        <v>33</v>
      </c>
      <c r="B36" s="120">
        <v>8</v>
      </c>
      <c r="C36" s="120">
        <v>4</v>
      </c>
      <c r="D36" s="121">
        <f>'Приложение 6'!J281</f>
        <v>709.6</v>
      </c>
      <c r="E36" s="121">
        <f>'Приложение 6'!K281</f>
        <v>706</v>
      </c>
    </row>
    <row r="37" spans="1:5" ht="15.75">
      <c r="A37" s="46" t="s">
        <v>281</v>
      </c>
      <c r="B37" s="120">
        <v>10</v>
      </c>
      <c r="C37" s="120" t="s">
        <v>144</v>
      </c>
      <c r="D37" s="121">
        <f>D38</f>
        <v>577.70000000000005</v>
      </c>
      <c r="E37" s="121">
        <f>E38</f>
        <v>575.4</v>
      </c>
    </row>
    <row r="38" spans="1:5" ht="15.75">
      <c r="A38" s="46" t="s">
        <v>39</v>
      </c>
      <c r="B38" s="120">
        <v>10</v>
      </c>
      <c r="C38" s="120">
        <v>3</v>
      </c>
      <c r="D38" s="121">
        <f>'Приложение 6'!J291</f>
        <v>577.70000000000005</v>
      </c>
      <c r="E38" s="121">
        <f>'Приложение 6'!K291</f>
        <v>575.4</v>
      </c>
    </row>
    <row r="39" spans="1:5" ht="15.75">
      <c r="A39" s="46" t="s">
        <v>282</v>
      </c>
      <c r="B39" s="120">
        <v>11</v>
      </c>
      <c r="C39" s="120" t="s">
        <v>144</v>
      </c>
      <c r="D39" s="121">
        <f>D40</f>
        <v>3135</v>
      </c>
      <c r="E39" s="121">
        <f>E40</f>
        <v>2823.3</v>
      </c>
    </row>
    <row r="40" spans="1:5" ht="31.5">
      <c r="A40" s="46" t="s">
        <v>34</v>
      </c>
      <c r="B40" s="120">
        <v>11</v>
      </c>
      <c r="C40" s="120">
        <v>5</v>
      </c>
      <c r="D40" s="121">
        <f>'Приложение 6'!J301</f>
        <v>3135</v>
      </c>
      <c r="E40" s="121">
        <f>'Приложение 6'!K301</f>
        <v>2823.3</v>
      </c>
    </row>
    <row r="41" spans="1:5" ht="15.75">
      <c r="A41" s="46" t="s">
        <v>398</v>
      </c>
      <c r="B41" s="120">
        <v>12</v>
      </c>
      <c r="C41" s="120"/>
      <c r="D41" s="121">
        <f>D42</f>
        <v>250</v>
      </c>
      <c r="E41" s="121">
        <f>E42</f>
        <v>187.1</v>
      </c>
    </row>
    <row r="42" spans="1:5" ht="15.75">
      <c r="A42" s="46" t="s">
        <v>396</v>
      </c>
      <c r="B42" s="120">
        <v>12</v>
      </c>
      <c r="C42" s="120">
        <v>2</v>
      </c>
      <c r="D42" s="121">
        <f>'Приложение 6'!J311</f>
        <v>250</v>
      </c>
      <c r="E42" s="121">
        <f>'Приложение 6'!K311</f>
        <v>187.1</v>
      </c>
    </row>
    <row r="43" spans="1:5" s="218" customFormat="1" ht="15.75">
      <c r="A43" s="216" t="s">
        <v>146</v>
      </c>
      <c r="B43" s="216" t="s">
        <v>144</v>
      </c>
      <c r="C43" s="216" t="s">
        <v>144</v>
      </c>
      <c r="D43" s="217">
        <f>D10+D16+D18+D22+D26+D31+D34+D37+D39+D41</f>
        <v>121959.3</v>
      </c>
      <c r="E43" s="217">
        <f>E10+E16+E18+E22+E26+E31+E34+E37+E39+E41</f>
        <v>91294.8</v>
      </c>
    </row>
    <row r="44" spans="1:5">
      <c r="A44" s="122"/>
      <c r="B44" s="122"/>
      <c r="C44" s="122"/>
      <c r="D44" s="122"/>
      <c r="E44" s="122"/>
    </row>
    <row r="45" spans="1:5">
      <c r="A45" s="122"/>
      <c r="B45" s="122"/>
      <c r="C45" s="122"/>
      <c r="D45" s="122"/>
      <c r="E45" s="122"/>
    </row>
    <row r="46" spans="1:5" ht="15.75">
      <c r="A46" s="123"/>
      <c r="B46" s="122"/>
      <c r="C46" s="122"/>
      <c r="D46" s="122"/>
      <c r="E46" s="123"/>
    </row>
  </sheetData>
  <mergeCells count="1">
    <mergeCell ref="A7:E7"/>
  </mergeCells>
  <pageMargins left="0.78740157480314965" right="0.39370078740157483" top="0.39370078740157483" bottom="0.39370078740157483" header="0.19685039370078741" footer="0.19685039370078741"/>
  <pageSetup paperSize="9" fitToHeight="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J331"/>
  <sheetViews>
    <sheetView view="pageBreakPreview" zoomScaleNormal="100" zoomScaleSheetLayoutView="100" workbookViewId="0">
      <selection activeCell="J1" sqref="J1:J5"/>
    </sheetView>
  </sheetViews>
  <sheetFormatPr defaultRowHeight="15"/>
  <cols>
    <col min="1" max="1" width="55.28515625" style="3" customWidth="1"/>
    <col min="2" max="2" width="3.7109375" style="5" customWidth="1"/>
    <col min="3" max="4" width="4.140625" style="5" customWidth="1"/>
    <col min="5" max="6" width="3.28515625" style="6" customWidth="1"/>
    <col min="7" max="7" width="6.7109375" style="3" bestFit="1" customWidth="1"/>
    <col min="8" max="8" width="4.42578125" style="3" customWidth="1"/>
    <col min="9" max="9" width="15.7109375" style="10" customWidth="1"/>
    <col min="10" max="10" width="11.7109375" style="10" customWidth="1"/>
    <col min="11" max="16384" width="9.140625" style="3"/>
  </cols>
  <sheetData>
    <row r="1" spans="1:10" ht="15.75">
      <c r="H1" s="5"/>
      <c r="J1" s="245" t="s">
        <v>171</v>
      </c>
    </row>
    <row r="2" spans="1:10" ht="15.75">
      <c r="H2" s="5"/>
      <c r="J2" s="245" t="s">
        <v>242</v>
      </c>
    </row>
    <row r="3" spans="1:10" ht="15.75">
      <c r="H3" s="5"/>
      <c r="J3" s="245" t="s">
        <v>565</v>
      </c>
    </row>
    <row r="4" spans="1:10" ht="15.75">
      <c r="H4" s="5"/>
      <c r="J4" s="245" t="s">
        <v>566</v>
      </c>
    </row>
    <row r="5" spans="1:10" ht="15.75">
      <c r="H5" s="5"/>
      <c r="J5" s="245" t="str">
        <f>'Приложение 1'!D5</f>
        <v>от "___" _____________ 2019 года</v>
      </c>
    </row>
    <row r="6" spans="1:10" ht="12.75" customHeight="1">
      <c r="H6" s="5"/>
      <c r="I6" s="56"/>
    </row>
    <row r="7" spans="1:10" ht="12.75" customHeight="1">
      <c r="E7" s="4"/>
      <c r="F7" s="4"/>
    </row>
    <row r="8" spans="1:10" ht="16.5" customHeight="1">
      <c r="A8" s="124"/>
      <c r="B8" s="124"/>
      <c r="C8" s="124"/>
      <c r="D8" s="124"/>
      <c r="E8" s="124"/>
      <c r="F8" s="124"/>
      <c r="G8" s="124"/>
      <c r="H8" s="124"/>
      <c r="I8" s="150"/>
      <c r="J8" s="150"/>
    </row>
    <row r="9" spans="1:10" ht="81.75" customHeight="1">
      <c r="A9" s="254" t="s">
        <v>554</v>
      </c>
      <c r="B9" s="254"/>
      <c r="C9" s="254"/>
      <c r="D9" s="254"/>
      <c r="E9" s="254"/>
      <c r="F9" s="254"/>
      <c r="G9" s="254"/>
      <c r="H9" s="254"/>
      <c r="I9" s="254"/>
      <c r="J9" s="254"/>
    </row>
    <row r="10" spans="1:10">
      <c r="A10" s="125"/>
      <c r="B10" s="126"/>
      <c r="C10" s="126"/>
      <c r="D10" s="126"/>
      <c r="E10" s="126"/>
      <c r="F10" s="126"/>
      <c r="G10" s="126"/>
      <c r="H10" s="126"/>
      <c r="I10" s="151"/>
      <c r="J10" s="152" t="s">
        <v>141</v>
      </c>
    </row>
    <row r="11" spans="1:10" ht="236.25">
      <c r="A11" s="115" t="s">
        <v>4</v>
      </c>
      <c r="B11" s="29" t="s">
        <v>5</v>
      </c>
      <c r="C11" s="29" t="s">
        <v>23</v>
      </c>
      <c r="D11" s="253" t="s">
        <v>6</v>
      </c>
      <c r="E11" s="253"/>
      <c r="F11" s="253"/>
      <c r="G11" s="253"/>
      <c r="H11" s="29" t="s">
        <v>7</v>
      </c>
      <c r="I11" s="118" t="s">
        <v>511</v>
      </c>
      <c r="J11" s="118" t="s">
        <v>247</v>
      </c>
    </row>
    <row r="12" spans="1:10" s="7" customFormat="1" ht="15.75">
      <c r="A12" s="179" t="s">
        <v>273</v>
      </c>
      <c r="B12" s="181">
        <v>1</v>
      </c>
      <c r="C12" s="181"/>
      <c r="D12" s="182"/>
      <c r="E12" s="183"/>
      <c r="F12" s="184"/>
      <c r="G12" s="185"/>
      <c r="H12" s="183"/>
      <c r="I12" s="186">
        <f>I13+I21+I55+I60+I65</f>
        <v>14957.300000000003</v>
      </c>
      <c r="J12" s="186">
        <f>J13+J21+J55+J60+J65</f>
        <v>12874.5</v>
      </c>
    </row>
    <row r="13" spans="1:10" ht="63">
      <c r="A13" s="206" t="s">
        <v>26</v>
      </c>
      <c r="B13" s="41" t="s">
        <v>11</v>
      </c>
      <c r="C13" s="41" t="s">
        <v>12</v>
      </c>
      <c r="D13" s="41" t="s">
        <v>10</v>
      </c>
      <c r="E13" s="42"/>
      <c r="F13" s="41"/>
      <c r="G13" s="41"/>
      <c r="H13" s="42" t="s">
        <v>8</v>
      </c>
      <c r="I13" s="201">
        <f>I14</f>
        <v>1142.6000000000001</v>
      </c>
      <c r="J13" s="201">
        <f>J14</f>
        <v>1140.9000000000001</v>
      </c>
    </row>
    <row r="14" spans="1:10" ht="15.75">
      <c r="A14" s="40" t="s">
        <v>47</v>
      </c>
      <c r="B14" s="41" t="s">
        <v>11</v>
      </c>
      <c r="C14" s="41" t="s">
        <v>12</v>
      </c>
      <c r="D14" s="41">
        <v>91</v>
      </c>
      <c r="E14" s="42">
        <v>0</v>
      </c>
      <c r="F14" s="41" t="s">
        <v>128</v>
      </c>
      <c r="G14" s="41" t="s">
        <v>423</v>
      </c>
      <c r="H14" s="42" t="s">
        <v>8</v>
      </c>
      <c r="I14" s="201">
        <f>I15</f>
        <v>1142.6000000000001</v>
      </c>
      <c r="J14" s="201">
        <f>J15</f>
        <v>1140.9000000000001</v>
      </c>
    </row>
    <row r="15" spans="1:10" ht="31.5">
      <c r="A15" s="40" t="s">
        <v>48</v>
      </c>
      <c r="B15" s="41" t="s">
        <v>11</v>
      </c>
      <c r="C15" s="41" t="s">
        <v>12</v>
      </c>
      <c r="D15" s="41">
        <v>91</v>
      </c>
      <c r="E15" s="42">
        <v>1</v>
      </c>
      <c r="F15" s="41" t="s">
        <v>315</v>
      </c>
      <c r="G15" s="41" t="s">
        <v>423</v>
      </c>
      <c r="H15" s="42"/>
      <c r="I15" s="201">
        <f>I16+I18</f>
        <v>1142.6000000000001</v>
      </c>
      <c r="J15" s="201">
        <f>J16+J18</f>
        <v>1140.9000000000001</v>
      </c>
    </row>
    <row r="16" spans="1:10" ht="78.75">
      <c r="A16" s="40" t="s">
        <v>49</v>
      </c>
      <c r="B16" s="41" t="s">
        <v>11</v>
      </c>
      <c r="C16" s="41" t="s">
        <v>12</v>
      </c>
      <c r="D16" s="41">
        <v>91</v>
      </c>
      <c r="E16" s="42">
        <v>1</v>
      </c>
      <c r="F16" s="41" t="s">
        <v>315</v>
      </c>
      <c r="G16" s="41" t="s">
        <v>316</v>
      </c>
      <c r="H16" s="42"/>
      <c r="I16" s="201">
        <f>I17</f>
        <v>1136.1000000000001</v>
      </c>
      <c r="J16" s="201">
        <f>J17</f>
        <v>1134.5</v>
      </c>
    </row>
    <row r="17" spans="1:10" ht="31.5">
      <c r="A17" s="40" t="s">
        <v>116</v>
      </c>
      <c r="B17" s="41" t="s">
        <v>11</v>
      </c>
      <c r="C17" s="41" t="s">
        <v>12</v>
      </c>
      <c r="D17" s="41">
        <v>91</v>
      </c>
      <c r="E17" s="42">
        <v>1</v>
      </c>
      <c r="F17" s="41" t="s">
        <v>315</v>
      </c>
      <c r="G17" s="41" t="s">
        <v>316</v>
      </c>
      <c r="H17" s="42">
        <v>120</v>
      </c>
      <c r="I17" s="192">
        <f>'Приложение 6'!J322</f>
        <v>1136.1000000000001</v>
      </c>
      <c r="J17" s="192">
        <f>'Приложение 6'!K322</f>
        <v>1134.5</v>
      </c>
    </row>
    <row r="18" spans="1:10" ht="63">
      <c r="A18" s="40" t="s">
        <v>50</v>
      </c>
      <c r="B18" s="41" t="s">
        <v>11</v>
      </c>
      <c r="C18" s="41" t="s">
        <v>12</v>
      </c>
      <c r="D18" s="41">
        <v>91</v>
      </c>
      <c r="E18" s="42">
        <v>1</v>
      </c>
      <c r="F18" s="41" t="s">
        <v>315</v>
      </c>
      <c r="G18" s="41" t="s">
        <v>317</v>
      </c>
      <c r="H18" s="42"/>
      <c r="I18" s="192">
        <f>I19+I20</f>
        <v>6.5000000000000009</v>
      </c>
      <c r="J18" s="192">
        <f>J19+J20</f>
        <v>6.4</v>
      </c>
    </row>
    <row r="19" spans="1:10" ht="31.5">
      <c r="A19" s="46" t="s">
        <v>137</v>
      </c>
      <c r="B19" s="41" t="s">
        <v>11</v>
      </c>
      <c r="C19" s="41" t="s">
        <v>12</v>
      </c>
      <c r="D19" s="41">
        <v>91</v>
      </c>
      <c r="E19" s="42">
        <v>1</v>
      </c>
      <c r="F19" s="41" t="s">
        <v>315</v>
      </c>
      <c r="G19" s="41" t="s">
        <v>317</v>
      </c>
      <c r="H19" s="42">
        <v>240</v>
      </c>
      <c r="I19" s="192">
        <f>'Приложение 6'!J324</f>
        <v>6.3000000000000007</v>
      </c>
      <c r="J19" s="192">
        <f>'Приложение 6'!K324</f>
        <v>6.2</v>
      </c>
    </row>
    <row r="20" spans="1:10" ht="15.75">
      <c r="A20" s="46" t="s">
        <v>117</v>
      </c>
      <c r="B20" s="41" t="s">
        <v>11</v>
      </c>
      <c r="C20" s="41" t="s">
        <v>12</v>
      </c>
      <c r="D20" s="41">
        <v>91</v>
      </c>
      <c r="E20" s="42">
        <v>1</v>
      </c>
      <c r="F20" s="41" t="s">
        <v>315</v>
      </c>
      <c r="G20" s="41" t="s">
        <v>317</v>
      </c>
      <c r="H20" s="42">
        <v>850</v>
      </c>
      <c r="I20" s="192">
        <f>'Приложение 6'!J325</f>
        <v>0.19999999999999996</v>
      </c>
      <c r="J20" s="192">
        <f>'Приложение 6'!K325</f>
        <v>0.2</v>
      </c>
    </row>
    <row r="21" spans="1:10" ht="63">
      <c r="A21" s="40" t="s">
        <v>14</v>
      </c>
      <c r="B21" s="41" t="s">
        <v>11</v>
      </c>
      <c r="C21" s="42" t="s">
        <v>15</v>
      </c>
      <c r="D21" s="41" t="s">
        <v>10</v>
      </c>
      <c r="E21" s="42"/>
      <c r="F21" s="41"/>
      <c r="G21" s="41"/>
      <c r="H21" s="42" t="s">
        <v>8</v>
      </c>
      <c r="I21" s="192">
        <f>I22+I26+I39</f>
        <v>7958.6</v>
      </c>
      <c r="J21" s="192">
        <f>J22+J26+J39</f>
        <v>7435.7000000000007</v>
      </c>
    </row>
    <row r="22" spans="1:10" ht="63">
      <c r="A22" s="40" t="s">
        <v>422</v>
      </c>
      <c r="B22" s="41" t="s">
        <v>11</v>
      </c>
      <c r="C22" s="41" t="s">
        <v>15</v>
      </c>
      <c r="D22" s="41" t="s">
        <v>37</v>
      </c>
      <c r="E22" s="42">
        <v>0</v>
      </c>
      <c r="F22" s="41" t="s">
        <v>315</v>
      </c>
      <c r="G22" s="41" t="s">
        <v>423</v>
      </c>
      <c r="H22" s="42"/>
      <c r="I22" s="192">
        <f t="shared" ref="I22:J24" si="0">I23</f>
        <v>100</v>
      </c>
      <c r="J22" s="192">
        <f t="shared" si="0"/>
        <v>80</v>
      </c>
    </row>
    <row r="23" spans="1:10" ht="31.5">
      <c r="A23" s="46" t="s">
        <v>313</v>
      </c>
      <c r="B23" s="41" t="s">
        <v>11</v>
      </c>
      <c r="C23" s="41" t="s">
        <v>15</v>
      </c>
      <c r="D23" s="41" t="s">
        <v>37</v>
      </c>
      <c r="E23" s="41" t="s">
        <v>128</v>
      </c>
      <c r="F23" s="41" t="s">
        <v>11</v>
      </c>
      <c r="G23" s="41" t="s">
        <v>423</v>
      </c>
      <c r="H23" s="41"/>
      <c r="I23" s="192">
        <f t="shared" si="0"/>
        <v>100</v>
      </c>
      <c r="J23" s="192">
        <f t="shared" si="0"/>
        <v>80</v>
      </c>
    </row>
    <row r="24" spans="1:10" ht="31.5">
      <c r="A24" s="46" t="s">
        <v>313</v>
      </c>
      <c r="B24" s="41" t="s">
        <v>11</v>
      </c>
      <c r="C24" s="41" t="s">
        <v>15</v>
      </c>
      <c r="D24" s="41" t="s">
        <v>37</v>
      </c>
      <c r="E24" s="41" t="s">
        <v>128</v>
      </c>
      <c r="F24" s="41" t="s">
        <v>11</v>
      </c>
      <c r="G24" s="41" t="s">
        <v>314</v>
      </c>
      <c r="H24" s="41"/>
      <c r="I24" s="192">
        <f t="shared" si="0"/>
        <v>100</v>
      </c>
      <c r="J24" s="192">
        <f t="shared" si="0"/>
        <v>80</v>
      </c>
    </row>
    <row r="25" spans="1:10" ht="31.5">
      <c r="A25" s="46" t="s">
        <v>137</v>
      </c>
      <c r="B25" s="41" t="s">
        <v>11</v>
      </c>
      <c r="C25" s="41" t="s">
        <v>15</v>
      </c>
      <c r="D25" s="41" t="s">
        <v>37</v>
      </c>
      <c r="E25" s="41" t="s">
        <v>128</v>
      </c>
      <c r="F25" s="41" t="s">
        <v>11</v>
      </c>
      <c r="G25" s="41" t="s">
        <v>314</v>
      </c>
      <c r="H25" s="41" t="s">
        <v>127</v>
      </c>
      <c r="I25" s="192">
        <f>'Приложение 6'!J16</f>
        <v>100</v>
      </c>
      <c r="J25" s="192">
        <f>'Приложение 6'!K16</f>
        <v>80</v>
      </c>
    </row>
    <row r="26" spans="1:10" ht="31.5">
      <c r="A26" s="40" t="s">
        <v>108</v>
      </c>
      <c r="B26" s="41" t="s">
        <v>11</v>
      </c>
      <c r="C26" s="42" t="s">
        <v>15</v>
      </c>
      <c r="D26" s="41">
        <v>92</v>
      </c>
      <c r="E26" s="42">
        <v>0</v>
      </c>
      <c r="F26" s="41" t="s">
        <v>315</v>
      </c>
      <c r="G26" s="41" t="s">
        <v>423</v>
      </c>
      <c r="H26" s="42"/>
      <c r="I26" s="192">
        <f>I27+I30</f>
        <v>7187.9000000000005</v>
      </c>
      <c r="J26" s="192">
        <f>J27+J30</f>
        <v>6772.6</v>
      </c>
    </row>
    <row r="27" spans="1:10" ht="15.75">
      <c r="A27" s="193" t="s">
        <v>27</v>
      </c>
      <c r="B27" s="41" t="s">
        <v>11</v>
      </c>
      <c r="C27" s="42" t="s">
        <v>15</v>
      </c>
      <c r="D27" s="41">
        <v>92</v>
      </c>
      <c r="E27" s="42">
        <v>1</v>
      </c>
      <c r="F27" s="41" t="s">
        <v>315</v>
      </c>
      <c r="G27" s="41" t="s">
        <v>423</v>
      </c>
      <c r="H27" s="42"/>
      <c r="I27" s="192">
        <f>I28</f>
        <v>885</v>
      </c>
      <c r="J27" s="192">
        <f>J28</f>
        <v>884.8</v>
      </c>
    </row>
    <row r="28" spans="1:10" ht="78.75">
      <c r="A28" s="193" t="s">
        <v>51</v>
      </c>
      <c r="B28" s="41" t="s">
        <v>11</v>
      </c>
      <c r="C28" s="42" t="s">
        <v>15</v>
      </c>
      <c r="D28" s="41">
        <v>92</v>
      </c>
      <c r="E28" s="42">
        <v>1</v>
      </c>
      <c r="F28" s="41" t="s">
        <v>315</v>
      </c>
      <c r="G28" s="41" t="s">
        <v>316</v>
      </c>
      <c r="H28" s="42"/>
      <c r="I28" s="192">
        <f>I29</f>
        <v>885</v>
      </c>
      <c r="J28" s="192">
        <f>J29</f>
        <v>884.8</v>
      </c>
    </row>
    <row r="29" spans="1:10" ht="31.5">
      <c r="A29" s="40" t="s">
        <v>116</v>
      </c>
      <c r="B29" s="41" t="s">
        <v>11</v>
      </c>
      <c r="C29" s="42" t="s">
        <v>15</v>
      </c>
      <c r="D29" s="41">
        <v>92</v>
      </c>
      <c r="E29" s="42">
        <v>1</v>
      </c>
      <c r="F29" s="41" t="s">
        <v>315</v>
      </c>
      <c r="G29" s="41" t="s">
        <v>316</v>
      </c>
      <c r="H29" s="42">
        <v>120</v>
      </c>
      <c r="I29" s="192">
        <f>'Приложение 6'!J20</f>
        <v>885</v>
      </c>
      <c r="J29" s="192">
        <f>'Приложение 6'!K20</f>
        <v>884.8</v>
      </c>
    </row>
    <row r="30" spans="1:10" ht="15.75">
      <c r="A30" s="46" t="s">
        <v>106</v>
      </c>
      <c r="B30" s="41" t="s">
        <v>11</v>
      </c>
      <c r="C30" s="42" t="s">
        <v>15</v>
      </c>
      <c r="D30" s="41">
        <v>92</v>
      </c>
      <c r="E30" s="42">
        <v>2</v>
      </c>
      <c r="F30" s="41" t="s">
        <v>315</v>
      </c>
      <c r="G30" s="41" t="s">
        <v>423</v>
      </c>
      <c r="H30" s="42"/>
      <c r="I30" s="192">
        <f>I31+I33+I37</f>
        <v>6302.9000000000005</v>
      </c>
      <c r="J30" s="192">
        <f>J31+J33+J37</f>
        <v>5887.8</v>
      </c>
    </row>
    <row r="31" spans="1:10" ht="78.75">
      <c r="A31" s="46" t="s">
        <v>51</v>
      </c>
      <c r="B31" s="41" t="s">
        <v>11</v>
      </c>
      <c r="C31" s="42" t="s">
        <v>15</v>
      </c>
      <c r="D31" s="41">
        <v>92</v>
      </c>
      <c r="E31" s="42">
        <v>2</v>
      </c>
      <c r="F31" s="41" t="s">
        <v>315</v>
      </c>
      <c r="G31" s="41" t="s">
        <v>316</v>
      </c>
      <c r="H31" s="42"/>
      <c r="I31" s="192">
        <f>I32</f>
        <v>5632.7000000000007</v>
      </c>
      <c r="J31" s="192">
        <f>J32</f>
        <v>5261.1</v>
      </c>
    </row>
    <row r="32" spans="1:10" ht="31.5">
      <c r="A32" s="40" t="s">
        <v>116</v>
      </c>
      <c r="B32" s="41" t="s">
        <v>11</v>
      </c>
      <c r="C32" s="42" t="s">
        <v>15</v>
      </c>
      <c r="D32" s="41">
        <v>92</v>
      </c>
      <c r="E32" s="42">
        <v>2</v>
      </c>
      <c r="F32" s="41" t="s">
        <v>315</v>
      </c>
      <c r="G32" s="41" t="s">
        <v>316</v>
      </c>
      <c r="H32" s="42">
        <v>120</v>
      </c>
      <c r="I32" s="192">
        <f>'Приложение 6'!J23</f>
        <v>5632.7000000000007</v>
      </c>
      <c r="J32" s="192">
        <f>'Приложение 6'!K23</f>
        <v>5261.1</v>
      </c>
    </row>
    <row r="33" spans="1:10" ht="78.75">
      <c r="A33" s="46" t="s">
        <v>52</v>
      </c>
      <c r="B33" s="41" t="s">
        <v>11</v>
      </c>
      <c r="C33" s="42" t="s">
        <v>15</v>
      </c>
      <c r="D33" s="41">
        <v>92</v>
      </c>
      <c r="E33" s="42">
        <v>2</v>
      </c>
      <c r="F33" s="41" t="s">
        <v>315</v>
      </c>
      <c r="G33" s="41" t="s">
        <v>317</v>
      </c>
      <c r="H33" s="42"/>
      <c r="I33" s="192">
        <f>SUM(I34:I36)</f>
        <v>391.2000000000001</v>
      </c>
      <c r="J33" s="192">
        <f>SUM(J34:J36)</f>
        <v>347.7</v>
      </c>
    </row>
    <row r="34" spans="1:10" ht="31.5">
      <c r="A34" s="40" t="s">
        <v>116</v>
      </c>
      <c r="B34" s="41" t="s">
        <v>11</v>
      </c>
      <c r="C34" s="42" t="s">
        <v>15</v>
      </c>
      <c r="D34" s="41">
        <v>92</v>
      </c>
      <c r="E34" s="42">
        <v>2</v>
      </c>
      <c r="F34" s="41" t="s">
        <v>315</v>
      </c>
      <c r="G34" s="41" t="s">
        <v>317</v>
      </c>
      <c r="H34" s="42">
        <v>120</v>
      </c>
      <c r="I34" s="192">
        <f>'Приложение 6'!J25</f>
        <v>19.3</v>
      </c>
      <c r="J34" s="192">
        <f>'Приложение 6'!K25</f>
        <v>19.2</v>
      </c>
    </row>
    <row r="35" spans="1:10" ht="31.5">
      <c r="A35" s="46" t="s">
        <v>137</v>
      </c>
      <c r="B35" s="41" t="s">
        <v>11</v>
      </c>
      <c r="C35" s="42" t="s">
        <v>15</v>
      </c>
      <c r="D35" s="41">
        <v>92</v>
      </c>
      <c r="E35" s="42">
        <v>2</v>
      </c>
      <c r="F35" s="41" t="s">
        <v>315</v>
      </c>
      <c r="G35" s="41" t="s">
        <v>317</v>
      </c>
      <c r="H35" s="42">
        <v>240</v>
      </c>
      <c r="I35" s="192">
        <f>'Приложение 6'!J26</f>
        <v>328.10000000000008</v>
      </c>
      <c r="J35" s="192">
        <f>'Приложение 6'!K26</f>
        <v>284.89999999999998</v>
      </c>
    </row>
    <row r="36" spans="1:10" ht="15.75">
      <c r="A36" s="46" t="s">
        <v>117</v>
      </c>
      <c r="B36" s="41" t="s">
        <v>11</v>
      </c>
      <c r="C36" s="42" t="s">
        <v>15</v>
      </c>
      <c r="D36" s="41">
        <v>92</v>
      </c>
      <c r="E36" s="42">
        <v>2</v>
      </c>
      <c r="F36" s="41" t="s">
        <v>315</v>
      </c>
      <c r="G36" s="41" t="s">
        <v>317</v>
      </c>
      <c r="H36" s="42">
        <v>850</v>
      </c>
      <c r="I36" s="192">
        <f>'Приложение 6'!J27</f>
        <v>43.8</v>
      </c>
      <c r="J36" s="192">
        <f>'Приложение 6'!K27</f>
        <v>43.6</v>
      </c>
    </row>
    <row r="37" spans="1:10" ht="189">
      <c r="A37" s="46" t="s">
        <v>512</v>
      </c>
      <c r="B37" s="41" t="s">
        <v>11</v>
      </c>
      <c r="C37" s="42" t="s">
        <v>15</v>
      </c>
      <c r="D37" s="41" t="s">
        <v>513</v>
      </c>
      <c r="E37" s="42">
        <v>2</v>
      </c>
      <c r="F37" s="41" t="s">
        <v>315</v>
      </c>
      <c r="G37" s="41" t="s">
        <v>514</v>
      </c>
      <c r="H37" s="42"/>
      <c r="I37" s="192">
        <f>I38</f>
        <v>279</v>
      </c>
      <c r="J37" s="192">
        <f>J38</f>
        <v>279</v>
      </c>
    </row>
    <row r="38" spans="1:10" ht="31.5">
      <c r="A38" s="40" t="s">
        <v>116</v>
      </c>
      <c r="B38" s="41" t="s">
        <v>11</v>
      </c>
      <c r="C38" s="42" t="s">
        <v>15</v>
      </c>
      <c r="D38" s="41">
        <v>92</v>
      </c>
      <c r="E38" s="42">
        <v>2</v>
      </c>
      <c r="F38" s="41" t="s">
        <v>315</v>
      </c>
      <c r="G38" s="41" t="s">
        <v>514</v>
      </c>
      <c r="H38" s="42">
        <v>120</v>
      </c>
      <c r="I38" s="192">
        <f>'Приложение 6'!J29</f>
        <v>279</v>
      </c>
      <c r="J38" s="192">
        <f>'Приложение 6'!K29</f>
        <v>279</v>
      </c>
    </row>
    <row r="39" spans="1:10" ht="15.75">
      <c r="A39" s="46" t="s">
        <v>92</v>
      </c>
      <c r="B39" s="41" t="s">
        <v>11</v>
      </c>
      <c r="C39" s="42" t="s">
        <v>15</v>
      </c>
      <c r="D39" s="41">
        <v>97</v>
      </c>
      <c r="E39" s="42">
        <v>0</v>
      </c>
      <c r="F39" s="41" t="s">
        <v>315</v>
      </c>
      <c r="G39" s="41" t="s">
        <v>423</v>
      </c>
      <c r="H39" s="42"/>
      <c r="I39" s="192">
        <f>I40</f>
        <v>670.69999999999993</v>
      </c>
      <c r="J39" s="192">
        <f>J40</f>
        <v>583.1</v>
      </c>
    </row>
    <row r="40" spans="1:10" ht="78.75">
      <c r="A40" s="46" t="s">
        <v>53</v>
      </c>
      <c r="B40" s="41" t="s">
        <v>11</v>
      </c>
      <c r="C40" s="42" t="s">
        <v>15</v>
      </c>
      <c r="D40" s="41">
        <v>97</v>
      </c>
      <c r="E40" s="42">
        <v>2</v>
      </c>
      <c r="F40" s="41" t="s">
        <v>315</v>
      </c>
      <c r="G40" s="41" t="s">
        <v>423</v>
      </c>
      <c r="H40" s="42"/>
      <c r="I40" s="192">
        <f>I41+I43+I45+I47+I49+I51+I53</f>
        <v>670.69999999999993</v>
      </c>
      <c r="J40" s="192">
        <f>J41+J43+J45+J47+J49+J51+J53</f>
        <v>583.1</v>
      </c>
    </row>
    <row r="41" spans="1:10" ht="47.25">
      <c r="A41" s="46" t="s">
        <v>318</v>
      </c>
      <c r="B41" s="41" t="s">
        <v>11</v>
      </c>
      <c r="C41" s="41" t="s">
        <v>15</v>
      </c>
      <c r="D41" s="41" t="s">
        <v>61</v>
      </c>
      <c r="E41" s="42">
        <v>2</v>
      </c>
      <c r="F41" s="41" t="s">
        <v>315</v>
      </c>
      <c r="G41" s="41" t="s">
        <v>319</v>
      </c>
      <c r="H41" s="42"/>
      <c r="I41" s="192">
        <f>I42</f>
        <v>182.5</v>
      </c>
      <c r="J41" s="192">
        <f>J42</f>
        <v>94.9</v>
      </c>
    </row>
    <row r="42" spans="1:10" ht="15.75">
      <c r="A42" s="194" t="s">
        <v>38</v>
      </c>
      <c r="B42" s="41" t="s">
        <v>11</v>
      </c>
      <c r="C42" s="41" t="s">
        <v>15</v>
      </c>
      <c r="D42" s="41" t="s">
        <v>61</v>
      </c>
      <c r="E42" s="42">
        <v>2</v>
      </c>
      <c r="F42" s="41" t="s">
        <v>315</v>
      </c>
      <c r="G42" s="41" t="s">
        <v>319</v>
      </c>
      <c r="H42" s="42">
        <v>540</v>
      </c>
      <c r="I42" s="192">
        <f>'Приложение 6'!J33</f>
        <v>182.5</v>
      </c>
      <c r="J42" s="192">
        <f>'Приложение 6'!K33</f>
        <v>94.9</v>
      </c>
    </row>
    <row r="43" spans="1:10" ht="110.25">
      <c r="A43" s="46" t="s">
        <v>320</v>
      </c>
      <c r="B43" s="41" t="s">
        <v>11</v>
      </c>
      <c r="C43" s="42" t="s">
        <v>15</v>
      </c>
      <c r="D43" s="41">
        <v>97</v>
      </c>
      <c r="E43" s="42">
        <v>2</v>
      </c>
      <c r="F43" s="41" t="s">
        <v>315</v>
      </c>
      <c r="G43" s="41" t="s">
        <v>321</v>
      </c>
      <c r="H43" s="42"/>
      <c r="I43" s="192">
        <f>I44</f>
        <v>85.4</v>
      </c>
      <c r="J43" s="192">
        <f>J44</f>
        <v>85.4</v>
      </c>
    </row>
    <row r="44" spans="1:10" ht="15.75">
      <c r="A44" s="194" t="s">
        <v>38</v>
      </c>
      <c r="B44" s="41" t="s">
        <v>11</v>
      </c>
      <c r="C44" s="42" t="s">
        <v>15</v>
      </c>
      <c r="D44" s="41">
        <v>97</v>
      </c>
      <c r="E44" s="42">
        <v>2</v>
      </c>
      <c r="F44" s="41" t="s">
        <v>315</v>
      </c>
      <c r="G44" s="41" t="s">
        <v>321</v>
      </c>
      <c r="H44" s="42">
        <v>540</v>
      </c>
      <c r="I44" s="192">
        <f>'Приложение 6'!J35</f>
        <v>85.4</v>
      </c>
      <c r="J44" s="192">
        <f>'Приложение 6'!K35</f>
        <v>85.4</v>
      </c>
    </row>
    <row r="45" spans="1:10" ht="94.5">
      <c r="A45" s="46" t="s">
        <v>322</v>
      </c>
      <c r="B45" s="41" t="s">
        <v>11</v>
      </c>
      <c r="C45" s="42" t="s">
        <v>15</v>
      </c>
      <c r="D45" s="41">
        <v>97</v>
      </c>
      <c r="E45" s="42">
        <v>2</v>
      </c>
      <c r="F45" s="41" t="s">
        <v>315</v>
      </c>
      <c r="G45" s="41" t="s">
        <v>323</v>
      </c>
      <c r="H45" s="42"/>
      <c r="I45" s="192">
        <f>I46</f>
        <v>68.3</v>
      </c>
      <c r="J45" s="192">
        <f>J46</f>
        <v>68.3</v>
      </c>
    </row>
    <row r="46" spans="1:10" ht="15.75">
      <c r="A46" s="194" t="s">
        <v>38</v>
      </c>
      <c r="B46" s="41" t="s">
        <v>11</v>
      </c>
      <c r="C46" s="42" t="s">
        <v>15</v>
      </c>
      <c r="D46" s="41">
        <v>97</v>
      </c>
      <c r="E46" s="42">
        <v>2</v>
      </c>
      <c r="F46" s="41" t="s">
        <v>315</v>
      </c>
      <c r="G46" s="41" t="s">
        <v>323</v>
      </c>
      <c r="H46" s="42">
        <v>540</v>
      </c>
      <c r="I46" s="192">
        <f>'Приложение 6'!J37</f>
        <v>68.3</v>
      </c>
      <c r="J46" s="192">
        <f>'Приложение 6'!K37</f>
        <v>68.3</v>
      </c>
    </row>
    <row r="47" spans="1:10" ht="409.5">
      <c r="A47" s="195" t="s">
        <v>515</v>
      </c>
      <c r="B47" s="196" t="s">
        <v>11</v>
      </c>
      <c r="C47" s="196" t="s">
        <v>15</v>
      </c>
      <c r="D47" s="196" t="s">
        <v>61</v>
      </c>
      <c r="E47" s="197">
        <v>2</v>
      </c>
      <c r="F47" s="196" t="s">
        <v>315</v>
      </c>
      <c r="G47" s="196" t="s">
        <v>516</v>
      </c>
      <c r="H47" s="197"/>
      <c r="I47" s="198">
        <f>I48</f>
        <v>4.7</v>
      </c>
      <c r="J47" s="198">
        <f>J48</f>
        <v>4.7</v>
      </c>
    </row>
    <row r="48" spans="1:10" ht="15.75">
      <c r="A48" s="199" t="s">
        <v>38</v>
      </c>
      <c r="B48" s="196" t="s">
        <v>11</v>
      </c>
      <c r="C48" s="196" t="s">
        <v>15</v>
      </c>
      <c r="D48" s="196" t="s">
        <v>61</v>
      </c>
      <c r="E48" s="197">
        <v>2</v>
      </c>
      <c r="F48" s="196" t="s">
        <v>315</v>
      </c>
      <c r="G48" s="196" t="s">
        <v>516</v>
      </c>
      <c r="H48" s="197">
        <v>540</v>
      </c>
      <c r="I48" s="198">
        <f>'Приложение 6'!J39</f>
        <v>4.7</v>
      </c>
      <c r="J48" s="198">
        <f>'Приложение 6'!K39</f>
        <v>4.7</v>
      </c>
    </row>
    <row r="49" spans="1:10" ht="47.25">
      <c r="A49" s="46" t="s">
        <v>55</v>
      </c>
      <c r="B49" s="41" t="s">
        <v>11</v>
      </c>
      <c r="C49" s="42" t="s">
        <v>15</v>
      </c>
      <c r="D49" s="41">
        <v>97</v>
      </c>
      <c r="E49" s="42">
        <v>2</v>
      </c>
      <c r="F49" s="41" t="s">
        <v>315</v>
      </c>
      <c r="G49" s="41" t="s">
        <v>324</v>
      </c>
      <c r="H49" s="42"/>
      <c r="I49" s="192">
        <f>I50</f>
        <v>108.9</v>
      </c>
      <c r="J49" s="192">
        <f>J50</f>
        <v>108.9</v>
      </c>
    </row>
    <row r="50" spans="1:10" ht="15.75">
      <c r="A50" s="194" t="s">
        <v>38</v>
      </c>
      <c r="B50" s="41" t="s">
        <v>11</v>
      </c>
      <c r="C50" s="42" t="s">
        <v>15</v>
      </c>
      <c r="D50" s="41">
        <v>97</v>
      </c>
      <c r="E50" s="42">
        <v>2</v>
      </c>
      <c r="F50" s="41" t="s">
        <v>315</v>
      </c>
      <c r="G50" s="41" t="s">
        <v>324</v>
      </c>
      <c r="H50" s="42">
        <v>540</v>
      </c>
      <c r="I50" s="192">
        <f>'Приложение 6'!J41</f>
        <v>108.9</v>
      </c>
      <c r="J50" s="192">
        <f>'Приложение 6'!K41</f>
        <v>108.9</v>
      </c>
    </row>
    <row r="51" spans="1:10" ht="47.25">
      <c r="A51" s="46" t="s">
        <v>325</v>
      </c>
      <c r="B51" s="41" t="s">
        <v>11</v>
      </c>
      <c r="C51" s="42" t="s">
        <v>15</v>
      </c>
      <c r="D51" s="41">
        <v>97</v>
      </c>
      <c r="E51" s="42">
        <v>2</v>
      </c>
      <c r="F51" s="41" t="s">
        <v>315</v>
      </c>
      <c r="G51" s="41" t="s">
        <v>326</v>
      </c>
      <c r="H51" s="42"/>
      <c r="I51" s="192">
        <f>I52</f>
        <v>85.4</v>
      </c>
      <c r="J51" s="192">
        <f>J52</f>
        <v>85.4</v>
      </c>
    </row>
    <row r="52" spans="1:10" ht="15.75">
      <c r="A52" s="194" t="s">
        <v>38</v>
      </c>
      <c r="B52" s="41" t="s">
        <v>11</v>
      </c>
      <c r="C52" s="42" t="s">
        <v>15</v>
      </c>
      <c r="D52" s="41">
        <v>97</v>
      </c>
      <c r="E52" s="42">
        <v>2</v>
      </c>
      <c r="F52" s="41" t="s">
        <v>315</v>
      </c>
      <c r="G52" s="41" t="s">
        <v>326</v>
      </c>
      <c r="H52" s="42">
        <v>540</v>
      </c>
      <c r="I52" s="192">
        <f>'Приложение 6'!J43</f>
        <v>85.4</v>
      </c>
      <c r="J52" s="192">
        <f>'Приложение 6'!K43</f>
        <v>85.4</v>
      </c>
    </row>
    <row r="53" spans="1:10" ht="78.75">
      <c r="A53" s="46" t="s">
        <v>327</v>
      </c>
      <c r="B53" s="41" t="s">
        <v>11</v>
      </c>
      <c r="C53" s="42" t="s">
        <v>15</v>
      </c>
      <c r="D53" s="41">
        <v>97</v>
      </c>
      <c r="E53" s="42">
        <v>2</v>
      </c>
      <c r="F53" s="41" t="s">
        <v>315</v>
      </c>
      <c r="G53" s="41" t="s">
        <v>328</v>
      </c>
      <c r="H53" s="42"/>
      <c r="I53" s="192">
        <f>I54</f>
        <v>135.5</v>
      </c>
      <c r="J53" s="192">
        <f>J54</f>
        <v>135.5</v>
      </c>
    </row>
    <row r="54" spans="1:10" ht="15.75">
      <c r="A54" s="194" t="s">
        <v>38</v>
      </c>
      <c r="B54" s="41" t="s">
        <v>11</v>
      </c>
      <c r="C54" s="42" t="s">
        <v>15</v>
      </c>
      <c r="D54" s="41">
        <v>97</v>
      </c>
      <c r="E54" s="42">
        <v>2</v>
      </c>
      <c r="F54" s="41" t="s">
        <v>315</v>
      </c>
      <c r="G54" s="41" t="s">
        <v>328</v>
      </c>
      <c r="H54" s="42">
        <v>540</v>
      </c>
      <c r="I54" s="192">
        <f>'Приложение 6'!J45</f>
        <v>135.5</v>
      </c>
      <c r="J54" s="192">
        <f>'Приложение 6'!K45</f>
        <v>135.5</v>
      </c>
    </row>
    <row r="55" spans="1:10" ht="47.25">
      <c r="A55" s="46" t="s">
        <v>329</v>
      </c>
      <c r="B55" s="41" t="s">
        <v>11</v>
      </c>
      <c r="C55" s="41" t="s">
        <v>66</v>
      </c>
      <c r="D55" s="41"/>
      <c r="E55" s="41"/>
      <c r="F55" s="41"/>
      <c r="G55" s="41"/>
      <c r="H55" s="41"/>
      <c r="I55" s="192">
        <f t="shared" ref="I55:J58" si="1">I56</f>
        <v>158.19999999999999</v>
      </c>
      <c r="J55" s="192">
        <f t="shared" si="1"/>
        <v>158.19999999999999</v>
      </c>
    </row>
    <row r="56" spans="1:10" ht="15.75">
      <c r="A56" s="46" t="s">
        <v>38</v>
      </c>
      <c r="B56" s="41" t="s">
        <v>11</v>
      </c>
      <c r="C56" s="41" t="s">
        <v>66</v>
      </c>
      <c r="D56" s="41" t="s">
        <v>61</v>
      </c>
      <c r="E56" s="41" t="s">
        <v>128</v>
      </c>
      <c r="F56" s="41" t="s">
        <v>315</v>
      </c>
      <c r="G56" s="41" t="s">
        <v>423</v>
      </c>
      <c r="H56" s="41"/>
      <c r="I56" s="192">
        <f t="shared" si="1"/>
        <v>158.19999999999999</v>
      </c>
      <c r="J56" s="192">
        <f t="shared" si="1"/>
        <v>158.19999999999999</v>
      </c>
    </row>
    <row r="57" spans="1:10" ht="78.75">
      <c r="A57" s="46" t="s">
        <v>53</v>
      </c>
      <c r="B57" s="41" t="s">
        <v>11</v>
      </c>
      <c r="C57" s="41" t="s">
        <v>66</v>
      </c>
      <c r="D57" s="41" t="s">
        <v>61</v>
      </c>
      <c r="E57" s="41" t="s">
        <v>330</v>
      </c>
      <c r="F57" s="41" t="s">
        <v>315</v>
      </c>
      <c r="G57" s="41" t="s">
        <v>423</v>
      </c>
      <c r="H57" s="41"/>
      <c r="I57" s="192">
        <f t="shared" si="1"/>
        <v>158.19999999999999</v>
      </c>
      <c r="J57" s="192">
        <f t="shared" si="1"/>
        <v>158.19999999999999</v>
      </c>
    </row>
    <row r="58" spans="1:10" ht="47.25">
      <c r="A58" s="46" t="s">
        <v>331</v>
      </c>
      <c r="B58" s="41" t="s">
        <v>11</v>
      </c>
      <c r="C58" s="41" t="s">
        <v>66</v>
      </c>
      <c r="D58" s="41">
        <v>97</v>
      </c>
      <c r="E58" s="42">
        <v>2</v>
      </c>
      <c r="F58" s="41" t="s">
        <v>315</v>
      </c>
      <c r="G58" s="41" t="s">
        <v>332</v>
      </c>
      <c r="H58" s="42"/>
      <c r="I58" s="192">
        <f t="shared" si="1"/>
        <v>158.19999999999999</v>
      </c>
      <c r="J58" s="192">
        <f t="shared" si="1"/>
        <v>158.19999999999999</v>
      </c>
    </row>
    <row r="59" spans="1:10" ht="15.75">
      <c r="A59" s="194" t="s">
        <v>38</v>
      </c>
      <c r="B59" s="41" t="s">
        <v>11</v>
      </c>
      <c r="C59" s="41" t="s">
        <v>66</v>
      </c>
      <c r="D59" s="41">
        <v>97</v>
      </c>
      <c r="E59" s="42">
        <v>2</v>
      </c>
      <c r="F59" s="41" t="s">
        <v>315</v>
      </c>
      <c r="G59" s="41" t="s">
        <v>332</v>
      </c>
      <c r="H59" s="42">
        <v>540</v>
      </c>
      <c r="I59" s="192">
        <f>'Приложение 6'!J50</f>
        <v>158.19999999999999</v>
      </c>
      <c r="J59" s="192">
        <f>'Приложение 6'!K50</f>
        <v>158.19999999999999</v>
      </c>
    </row>
    <row r="60" spans="1:10" ht="15.75">
      <c r="A60" s="40" t="s">
        <v>0</v>
      </c>
      <c r="B60" s="41" t="s">
        <v>11</v>
      </c>
      <c r="C60" s="42">
        <v>11</v>
      </c>
      <c r="D60" s="41"/>
      <c r="E60" s="42"/>
      <c r="F60" s="41"/>
      <c r="G60" s="41"/>
      <c r="H60" s="42" t="s">
        <v>8</v>
      </c>
      <c r="I60" s="201">
        <f t="shared" ref="I60:J63" si="2">I61</f>
        <v>275.60000000000002</v>
      </c>
      <c r="J60" s="201">
        <f t="shared" si="2"/>
        <v>0</v>
      </c>
    </row>
    <row r="61" spans="1:10" ht="15.75">
      <c r="A61" s="40" t="s">
        <v>0</v>
      </c>
      <c r="B61" s="41" t="s">
        <v>11</v>
      </c>
      <c r="C61" s="42">
        <v>11</v>
      </c>
      <c r="D61" s="41">
        <v>94</v>
      </c>
      <c r="E61" s="42">
        <v>0</v>
      </c>
      <c r="F61" s="41" t="s">
        <v>315</v>
      </c>
      <c r="G61" s="41" t="s">
        <v>423</v>
      </c>
      <c r="H61" s="42"/>
      <c r="I61" s="201">
        <f t="shared" si="2"/>
        <v>275.60000000000002</v>
      </c>
      <c r="J61" s="201">
        <f t="shared" si="2"/>
        <v>0</v>
      </c>
    </row>
    <row r="62" spans="1:10" ht="15.75">
      <c r="A62" s="40" t="s">
        <v>1</v>
      </c>
      <c r="B62" s="41" t="s">
        <v>11</v>
      </c>
      <c r="C62" s="42">
        <v>11</v>
      </c>
      <c r="D62" s="41">
        <v>94</v>
      </c>
      <c r="E62" s="42">
        <v>1</v>
      </c>
      <c r="F62" s="41" t="s">
        <v>315</v>
      </c>
      <c r="G62" s="41" t="s">
        <v>423</v>
      </c>
      <c r="H62" s="42" t="s">
        <v>8</v>
      </c>
      <c r="I62" s="201">
        <f t="shared" si="2"/>
        <v>275.60000000000002</v>
      </c>
      <c r="J62" s="201">
        <f t="shared" si="2"/>
        <v>0</v>
      </c>
    </row>
    <row r="63" spans="1:10" ht="15.75">
      <c r="A63" s="40" t="s">
        <v>1</v>
      </c>
      <c r="B63" s="41" t="s">
        <v>11</v>
      </c>
      <c r="C63" s="42">
        <v>11</v>
      </c>
      <c r="D63" s="41">
        <v>94</v>
      </c>
      <c r="E63" s="42">
        <v>1</v>
      </c>
      <c r="F63" s="41" t="s">
        <v>315</v>
      </c>
      <c r="G63" s="41" t="s">
        <v>333</v>
      </c>
      <c r="H63" s="42"/>
      <c r="I63" s="201">
        <f t="shared" si="2"/>
        <v>275.60000000000002</v>
      </c>
      <c r="J63" s="201">
        <f t="shared" si="2"/>
        <v>0</v>
      </c>
    </row>
    <row r="64" spans="1:10" ht="15.75">
      <c r="A64" s="40" t="s">
        <v>119</v>
      </c>
      <c r="B64" s="41" t="s">
        <v>11</v>
      </c>
      <c r="C64" s="42">
        <v>11</v>
      </c>
      <c r="D64" s="41">
        <v>94</v>
      </c>
      <c r="E64" s="42">
        <v>1</v>
      </c>
      <c r="F64" s="41" t="s">
        <v>315</v>
      </c>
      <c r="G64" s="41" t="s">
        <v>333</v>
      </c>
      <c r="H64" s="41" t="s">
        <v>118</v>
      </c>
      <c r="I64" s="201">
        <f>'Приложение 6'!J55</f>
        <v>275.60000000000002</v>
      </c>
      <c r="J64" s="201">
        <f>'Приложение 6'!K55</f>
        <v>0</v>
      </c>
    </row>
    <row r="65" spans="1:10" ht="15.75">
      <c r="A65" s="40" t="s">
        <v>21</v>
      </c>
      <c r="B65" s="41" t="s">
        <v>11</v>
      </c>
      <c r="C65" s="42">
        <v>13</v>
      </c>
      <c r="D65" s="41"/>
      <c r="E65" s="42"/>
      <c r="F65" s="41"/>
      <c r="G65" s="41"/>
      <c r="H65" s="42"/>
      <c r="I65" s="192">
        <f>I66+I77+I97+I101+I105+I112+I118</f>
        <v>5422.3</v>
      </c>
      <c r="J65" s="192">
        <f>J66+J77+J97+J101+J105+J112+J118</f>
        <v>4139.6999999999989</v>
      </c>
    </row>
    <row r="66" spans="1:10" ht="63">
      <c r="A66" s="40" t="s">
        <v>57</v>
      </c>
      <c r="B66" s="41" t="s">
        <v>11</v>
      </c>
      <c r="C66" s="42">
        <v>13</v>
      </c>
      <c r="D66" s="41" t="s">
        <v>11</v>
      </c>
      <c r="E66" s="42">
        <v>0</v>
      </c>
      <c r="F66" s="41" t="s">
        <v>315</v>
      </c>
      <c r="G66" s="41" t="s">
        <v>423</v>
      </c>
      <c r="H66" s="42"/>
      <c r="I66" s="192">
        <f>I67+I74</f>
        <v>3782.2999999999997</v>
      </c>
      <c r="J66" s="192">
        <f>J67+J74</f>
        <v>2590.1</v>
      </c>
    </row>
    <row r="67" spans="1:10" ht="15.75">
      <c r="A67" s="40" t="s">
        <v>95</v>
      </c>
      <c r="B67" s="41" t="s">
        <v>11</v>
      </c>
      <c r="C67" s="42">
        <v>13</v>
      </c>
      <c r="D67" s="41" t="s">
        <v>11</v>
      </c>
      <c r="E67" s="42">
        <v>1</v>
      </c>
      <c r="F67" s="41" t="s">
        <v>315</v>
      </c>
      <c r="G67" s="41" t="s">
        <v>423</v>
      </c>
      <c r="H67" s="42"/>
      <c r="I67" s="192">
        <f>I68+I70+I72</f>
        <v>3429.1</v>
      </c>
      <c r="J67" s="192">
        <f>J68+J70+J72</f>
        <v>2264.6999999999998</v>
      </c>
    </row>
    <row r="68" spans="1:10" ht="15.75">
      <c r="A68" s="46" t="s">
        <v>56</v>
      </c>
      <c r="B68" s="41" t="s">
        <v>11</v>
      </c>
      <c r="C68" s="42">
        <v>13</v>
      </c>
      <c r="D68" s="41" t="s">
        <v>11</v>
      </c>
      <c r="E68" s="42">
        <v>1</v>
      </c>
      <c r="F68" s="41" t="s">
        <v>315</v>
      </c>
      <c r="G68" s="41" t="s">
        <v>334</v>
      </c>
      <c r="H68" s="42"/>
      <c r="I68" s="192">
        <f>I69</f>
        <v>3121.2</v>
      </c>
      <c r="J68" s="192">
        <f>J69</f>
        <v>2042.5</v>
      </c>
    </row>
    <row r="69" spans="1:10" ht="31.5">
      <c r="A69" s="46" t="s">
        <v>137</v>
      </c>
      <c r="B69" s="41" t="s">
        <v>11</v>
      </c>
      <c r="C69" s="42">
        <v>13</v>
      </c>
      <c r="D69" s="41" t="s">
        <v>11</v>
      </c>
      <c r="E69" s="42">
        <v>1</v>
      </c>
      <c r="F69" s="41" t="s">
        <v>315</v>
      </c>
      <c r="G69" s="41" t="s">
        <v>334</v>
      </c>
      <c r="H69" s="42">
        <v>240</v>
      </c>
      <c r="I69" s="192">
        <f>'Приложение 6'!J60</f>
        <v>3121.2</v>
      </c>
      <c r="J69" s="192">
        <f>'Приложение 6'!K60</f>
        <v>2042.5</v>
      </c>
    </row>
    <row r="70" spans="1:10" ht="31.5">
      <c r="A70" s="46" t="s">
        <v>335</v>
      </c>
      <c r="B70" s="41" t="s">
        <v>11</v>
      </c>
      <c r="C70" s="42">
        <v>13</v>
      </c>
      <c r="D70" s="41" t="s">
        <v>11</v>
      </c>
      <c r="E70" s="42">
        <v>1</v>
      </c>
      <c r="F70" s="41" t="s">
        <v>315</v>
      </c>
      <c r="G70" s="41" t="s">
        <v>336</v>
      </c>
      <c r="H70" s="42"/>
      <c r="I70" s="192">
        <f>I71</f>
        <v>257.3</v>
      </c>
      <c r="J70" s="192">
        <f>J71</f>
        <v>198.7</v>
      </c>
    </row>
    <row r="71" spans="1:10" ht="31.5">
      <c r="A71" s="46" t="s">
        <v>137</v>
      </c>
      <c r="B71" s="41" t="s">
        <v>11</v>
      </c>
      <c r="C71" s="42">
        <v>13</v>
      </c>
      <c r="D71" s="41" t="s">
        <v>11</v>
      </c>
      <c r="E71" s="42">
        <v>1</v>
      </c>
      <c r="F71" s="41" t="s">
        <v>315</v>
      </c>
      <c r="G71" s="41" t="s">
        <v>336</v>
      </c>
      <c r="H71" s="42">
        <v>240</v>
      </c>
      <c r="I71" s="192">
        <f>'Приложение 6'!J62</f>
        <v>257.3</v>
      </c>
      <c r="J71" s="192">
        <f>'Приложение 6'!K62</f>
        <v>198.7</v>
      </c>
    </row>
    <row r="72" spans="1:10" ht="15.75">
      <c r="A72" s="46" t="s">
        <v>424</v>
      </c>
      <c r="B72" s="41" t="s">
        <v>11</v>
      </c>
      <c r="C72" s="42">
        <v>13</v>
      </c>
      <c r="D72" s="41" t="s">
        <v>11</v>
      </c>
      <c r="E72" s="42">
        <v>1</v>
      </c>
      <c r="F72" s="41" t="s">
        <v>315</v>
      </c>
      <c r="G72" s="41" t="s">
        <v>425</v>
      </c>
      <c r="H72" s="42"/>
      <c r="I72" s="192">
        <f>I73</f>
        <v>50.600000000000023</v>
      </c>
      <c r="J72" s="192">
        <f>J73</f>
        <v>23.5</v>
      </c>
    </row>
    <row r="73" spans="1:10" ht="31.5">
      <c r="A73" s="46" t="s">
        <v>137</v>
      </c>
      <c r="B73" s="41" t="s">
        <v>11</v>
      </c>
      <c r="C73" s="42">
        <v>13</v>
      </c>
      <c r="D73" s="41" t="s">
        <v>11</v>
      </c>
      <c r="E73" s="42">
        <v>1</v>
      </c>
      <c r="F73" s="41" t="s">
        <v>315</v>
      </c>
      <c r="G73" s="41" t="s">
        <v>425</v>
      </c>
      <c r="H73" s="42">
        <v>240</v>
      </c>
      <c r="I73" s="192">
        <f>'Приложение 6'!J64</f>
        <v>50.600000000000023</v>
      </c>
      <c r="J73" s="192">
        <f>'Приложение 6'!K64</f>
        <v>23.5</v>
      </c>
    </row>
    <row r="74" spans="1:10" ht="47.25">
      <c r="A74" s="46" t="s">
        <v>109</v>
      </c>
      <c r="B74" s="41" t="s">
        <v>11</v>
      </c>
      <c r="C74" s="42">
        <v>13</v>
      </c>
      <c r="D74" s="41" t="s">
        <v>11</v>
      </c>
      <c r="E74" s="42">
        <v>2</v>
      </c>
      <c r="F74" s="41" t="s">
        <v>315</v>
      </c>
      <c r="G74" s="41" t="s">
        <v>423</v>
      </c>
      <c r="H74" s="42"/>
      <c r="I74" s="192">
        <f>I75</f>
        <v>353.2</v>
      </c>
      <c r="J74" s="192">
        <f>J75</f>
        <v>325.39999999999998</v>
      </c>
    </row>
    <row r="75" spans="1:10" ht="31.5">
      <c r="A75" s="46" t="s">
        <v>110</v>
      </c>
      <c r="B75" s="41" t="s">
        <v>11</v>
      </c>
      <c r="C75" s="42">
        <v>13</v>
      </c>
      <c r="D75" s="41" t="s">
        <v>11</v>
      </c>
      <c r="E75" s="42">
        <v>2</v>
      </c>
      <c r="F75" s="41" t="s">
        <v>315</v>
      </c>
      <c r="G75" s="41" t="s">
        <v>337</v>
      </c>
      <c r="H75" s="42"/>
      <c r="I75" s="192">
        <f>I76</f>
        <v>353.2</v>
      </c>
      <c r="J75" s="192">
        <f>J76</f>
        <v>325.39999999999998</v>
      </c>
    </row>
    <row r="76" spans="1:10" ht="31.5">
      <c r="A76" s="46" t="s">
        <v>137</v>
      </c>
      <c r="B76" s="41" t="s">
        <v>11</v>
      </c>
      <c r="C76" s="42">
        <v>13</v>
      </c>
      <c r="D76" s="41" t="s">
        <v>11</v>
      </c>
      <c r="E76" s="42">
        <v>2</v>
      </c>
      <c r="F76" s="41" t="s">
        <v>315</v>
      </c>
      <c r="G76" s="41" t="s">
        <v>337</v>
      </c>
      <c r="H76" s="42">
        <v>240</v>
      </c>
      <c r="I76" s="192">
        <f>'Приложение 6'!J67</f>
        <v>353.2</v>
      </c>
      <c r="J76" s="192">
        <f>'Приложение 6'!K67</f>
        <v>325.39999999999998</v>
      </c>
    </row>
    <row r="77" spans="1:10" ht="63">
      <c r="A77" s="40" t="s">
        <v>132</v>
      </c>
      <c r="B77" s="41" t="s">
        <v>11</v>
      </c>
      <c r="C77" s="42">
        <v>13</v>
      </c>
      <c r="D77" s="41" t="s">
        <v>18</v>
      </c>
      <c r="E77" s="42">
        <v>0</v>
      </c>
      <c r="F77" s="41" t="s">
        <v>315</v>
      </c>
      <c r="G77" s="41" t="s">
        <v>423</v>
      </c>
      <c r="H77" s="42"/>
      <c r="I77" s="192">
        <f>I78</f>
        <v>874.49999999999989</v>
      </c>
      <c r="J77" s="192">
        <f>J78</f>
        <v>841.1</v>
      </c>
    </row>
    <row r="78" spans="1:10" ht="47.25">
      <c r="A78" s="40" t="s">
        <v>124</v>
      </c>
      <c r="B78" s="41" t="s">
        <v>11</v>
      </c>
      <c r="C78" s="42">
        <v>13</v>
      </c>
      <c r="D78" s="41" t="s">
        <v>18</v>
      </c>
      <c r="E78" s="42">
        <v>1</v>
      </c>
      <c r="F78" s="41" t="s">
        <v>315</v>
      </c>
      <c r="G78" s="41" t="s">
        <v>423</v>
      </c>
      <c r="H78" s="42"/>
      <c r="I78" s="192">
        <f>I79+I82+I85+I88+I91+I94</f>
        <v>874.49999999999989</v>
      </c>
      <c r="J78" s="192">
        <f>J79+J82+J85+J88+J91+J94</f>
        <v>841.1</v>
      </c>
    </row>
    <row r="79" spans="1:10" ht="15.75">
      <c r="A79" s="40" t="s">
        <v>338</v>
      </c>
      <c r="B79" s="41" t="s">
        <v>11</v>
      </c>
      <c r="C79" s="42">
        <v>13</v>
      </c>
      <c r="D79" s="41" t="s">
        <v>18</v>
      </c>
      <c r="E79" s="42">
        <v>1</v>
      </c>
      <c r="F79" s="41" t="s">
        <v>11</v>
      </c>
      <c r="G79" s="41" t="s">
        <v>423</v>
      </c>
      <c r="H79" s="42"/>
      <c r="I79" s="192">
        <f>I80</f>
        <v>225</v>
      </c>
      <c r="J79" s="192">
        <f>J80</f>
        <v>212.2</v>
      </c>
    </row>
    <row r="80" spans="1:10" ht="47.25">
      <c r="A80" s="46" t="s">
        <v>125</v>
      </c>
      <c r="B80" s="41" t="s">
        <v>11</v>
      </c>
      <c r="C80" s="41" t="s">
        <v>123</v>
      </c>
      <c r="D80" s="41" t="s">
        <v>18</v>
      </c>
      <c r="E80" s="41" t="s">
        <v>126</v>
      </c>
      <c r="F80" s="41" t="s">
        <v>11</v>
      </c>
      <c r="G80" s="41" t="s">
        <v>339</v>
      </c>
      <c r="H80" s="41"/>
      <c r="I80" s="192">
        <f>I81</f>
        <v>225</v>
      </c>
      <c r="J80" s="192">
        <f>J81</f>
        <v>212.2</v>
      </c>
    </row>
    <row r="81" spans="1:10" ht="31.5">
      <c r="A81" s="46" t="s">
        <v>137</v>
      </c>
      <c r="B81" s="41" t="s">
        <v>11</v>
      </c>
      <c r="C81" s="41" t="s">
        <v>123</v>
      </c>
      <c r="D81" s="41" t="s">
        <v>18</v>
      </c>
      <c r="E81" s="41" t="s">
        <v>126</v>
      </c>
      <c r="F81" s="41" t="s">
        <v>11</v>
      </c>
      <c r="G81" s="41" t="s">
        <v>339</v>
      </c>
      <c r="H81" s="41" t="s">
        <v>127</v>
      </c>
      <c r="I81" s="192">
        <f>'Приложение 6'!J72</f>
        <v>225</v>
      </c>
      <c r="J81" s="192">
        <f>'Приложение 6'!K72</f>
        <v>212.2</v>
      </c>
    </row>
    <row r="82" spans="1:10" ht="31.5">
      <c r="A82" s="40" t="s">
        <v>340</v>
      </c>
      <c r="B82" s="41" t="s">
        <v>11</v>
      </c>
      <c r="C82" s="42">
        <v>13</v>
      </c>
      <c r="D82" s="41" t="s">
        <v>18</v>
      </c>
      <c r="E82" s="42">
        <v>1</v>
      </c>
      <c r="F82" s="41" t="s">
        <v>13</v>
      </c>
      <c r="G82" s="41" t="s">
        <v>423</v>
      </c>
      <c r="H82" s="42"/>
      <c r="I82" s="192">
        <f>I83</f>
        <v>35</v>
      </c>
      <c r="J82" s="192">
        <f>J83</f>
        <v>35</v>
      </c>
    </row>
    <row r="83" spans="1:10" ht="47.25">
      <c r="A83" s="46" t="s">
        <v>125</v>
      </c>
      <c r="B83" s="41" t="s">
        <v>11</v>
      </c>
      <c r="C83" s="41" t="s">
        <v>123</v>
      </c>
      <c r="D83" s="41" t="s">
        <v>18</v>
      </c>
      <c r="E83" s="41" t="s">
        <v>126</v>
      </c>
      <c r="F83" s="41" t="s">
        <v>13</v>
      </c>
      <c r="G83" s="41" t="s">
        <v>339</v>
      </c>
      <c r="H83" s="41"/>
      <c r="I83" s="192">
        <f>I84</f>
        <v>35</v>
      </c>
      <c r="J83" s="192">
        <f>J84</f>
        <v>35</v>
      </c>
    </row>
    <row r="84" spans="1:10" ht="31.5">
      <c r="A84" s="46" t="s">
        <v>137</v>
      </c>
      <c r="B84" s="41" t="s">
        <v>11</v>
      </c>
      <c r="C84" s="41" t="s">
        <v>123</v>
      </c>
      <c r="D84" s="41" t="s">
        <v>18</v>
      </c>
      <c r="E84" s="41" t="s">
        <v>126</v>
      </c>
      <c r="F84" s="41" t="s">
        <v>13</v>
      </c>
      <c r="G84" s="41" t="s">
        <v>339</v>
      </c>
      <c r="H84" s="41" t="s">
        <v>127</v>
      </c>
      <c r="I84" s="192">
        <f>'Приложение 6'!J75</f>
        <v>35</v>
      </c>
      <c r="J84" s="192">
        <f>'Приложение 6'!K75</f>
        <v>35</v>
      </c>
    </row>
    <row r="85" spans="1:10" ht="31.5">
      <c r="A85" s="40" t="s">
        <v>341</v>
      </c>
      <c r="B85" s="41" t="s">
        <v>11</v>
      </c>
      <c r="C85" s="42">
        <v>13</v>
      </c>
      <c r="D85" s="41" t="s">
        <v>18</v>
      </c>
      <c r="E85" s="42">
        <v>1</v>
      </c>
      <c r="F85" s="41" t="s">
        <v>12</v>
      </c>
      <c r="G85" s="41" t="s">
        <v>423</v>
      </c>
      <c r="H85" s="42"/>
      <c r="I85" s="192">
        <f>I86</f>
        <v>474.49999999999989</v>
      </c>
      <c r="J85" s="192">
        <f>J86</f>
        <v>474</v>
      </c>
    </row>
    <row r="86" spans="1:10" ht="47.25">
      <c r="A86" s="46" t="s">
        <v>125</v>
      </c>
      <c r="B86" s="41" t="s">
        <v>11</v>
      </c>
      <c r="C86" s="41" t="s">
        <v>123</v>
      </c>
      <c r="D86" s="41" t="s">
        <v>18</v>
      </c>
      <c r="E86" s="41" t="s">
        <v>126</v>
      </c>
      <c r="F86" s="41" t="s">
        <v>12</v>
      </c>
      <c r="G86" s="41" t="s">
        <v>339</v>
      </c>
      <c r="H86" s="41"/>
      <c r="I86" s="192">
        <f>I87</f>
        <v>474.49999999999989</v>
      </c>
      <c r="J86" s="192">
        <f>J87</f>
        <v>474</v>
      </c>
    </row>
    <row r="87" spans="1:10" ht="31.5">
      <c r="A87" s="46" t="s">
        <v>137</v>
      </c>
      <c r="B87" s="41" t="s">
        <v>11</v>
      </c>
      <c r="C87" s="41" t="s">
        <v>123</v>
      </c>
      <c r="D87" s="41" t="s">
        <v>18</v>
      </c>
      <c r="E87" s="41" t="s">
        <v>126</v>
      </c>
      <c r="F87" s="41" t="s">
        <v>12</v>
      </c>
      <c r="G87" s="41" t="s">
        <v>339</v>
      </c>
      <c r="H87" s="41" t="s">
        <v>127</v>
      </c>
      <c r="I87" s="192">
        <f>'Приложение 6'!J78</f>
        <v>474.49999999999989</v>
      </c>
      <c r="J87" s="192">
        <f>'Приложение 6'!K78</f>
        <v>474</v>
      </c>
    </row>
    <row r="88" spans="1:10" ht="15.75">
      <c r="A88" s="40" t="s">
        <v>426</v>
      </c>
      <c r="B88" s="41" t="s">
        <v>11</v>
      </c>
      <c r="C88" s="42">
        <v>13</v>
      </c>
      <c r="D88" s="41" t="s">
        <v>18</v>
      </c>
      <c r="E88" s="42">
        <v>1</v>
      </c>
      <c r="F88" s="41" t="s">
        <v>15</v>
      </c>
      <c r="G88" s="41" t="s">
        <v>423</v>
      </c>
      <c r="H88" s="42"/>
      <c r="I88" s="192">
        <f>I89</f>
        <v>50</v>
      </c>
      <c r="J88" s="192">
        <f>J89</f>
        <v>46</v>
      </c>
    </row>
    <row r="89" spans="1:10" ht="47.25">
      <c r="A89" s="46" t="s">
        <v>125</v>
      </c>
      <c r="B89" s="41" t="s">
        <v>11</v>
      </c>
      <c r="C89" s="41" t="s">
        <v>123</v>
      </c>
      <c r="D89" s="41" t="s">
        <v>18</v>
      </c>
      <c r="E89" s="41" t="s">
        <v>126</v>
      </c>
      <c r="F89" s="41" t="s">
        <v>15</v>
      </c>
      <c r="G89" s="41" t="s">
        <v>339</v>
      </c>
      <c r="H89" s="41"/>
      <c r="I89" s="192">
        <f>I90</f>
        <v>50</v>
      </c>
      <c r="J89" s="192">
        <f>J90</f>
        <v>46</v>
      </c>
    </row>
    <row r="90" spans="1:10" ht="31.5">
      <c r="A90" s="46" t="s">
        <v>137</v>
      </c>
      <c r="B90" s="41" t="s">
        <v>11</v>
      </c>
      <c r="C90" s="41" t="s">
        <v>123</v>
      </c>
      <c r="D90" s="41" t="s">
        <v>18</v>
      </c>
      <c r="E90" s="41" t="s">
        <v>126</v>
      </c>
      <c r="F90" s="41" t="s">
        <v>15</v>
      </c>
      <c r="G90" s="41" t="s">
        <v>339</v>
      </c>
      <c r="H90" s="41" t="s">
        <v>127</v>
      </c>
      <c r="I90" s="192">
        <f>'Приложение 6'!J81</f>
        <v>50</v>
      </c>
      <c r="J90" s="192">
        <f>'Приложение 6'!K81</f>
        <v>46</v>
      </c>
    </row>
    <row r="91" spans="1:10" ht="63">
      <c r="A91" s="40" t="s">
        <v>427</v>
      </c>
      <c r="B91" s="41" t="s">
        <v>11</v>
      </c>
      <c r="C91" s="42">
        <v>13</v>
      </c>
      <c r="D91" s="41" t="s">
        <v>18</v>
      </c>
      <c r="E91" s="42">
        <v>1</v>
      </c>
      <c r="F91" s="41" t="s">
        <v>16</v>
      </c>
      <c r="G91" s="41" t="s">
        <v>423</v>
      </c>
      <c r="H91" s="42"/>
      <c r="I91" s="192">
        <f>I92</f>
        <v>40</v>
      </c>
      <c r="J91" s="192">
        <f>J92</f>
        <v>32.9</v>
      </c>
    </row>
    <row r="92" spans="1:10" ht="47.25">
      <c r="A92" s="46" t="s">
        <v>125</v>
      </c>
      <c r="B92" s="41" t="s">
        <v>11</v>
      </c>
      <c r="C92" s="41" t="s">
        <v>123</v>
      </c>
      <c r="D92" s="41" t="s">
        <v>18</v>
      </c>
      <c r="E92" s="41" t="s">
        <v>126</v>
      </c>
      <c r="F92" s="41" t="s">
        <v>16</v>
      </c>
      <c r="G92" s="41" t="s">
        <v>339</v>
      </c>
      <c r="H92" s="41"/>
      <c r="I92" s="192">
        <f>I93</f>
        <v>40</v>
      </c>
      <c r="J92" s="192">
        <f>J93</f>
        <v>32.9</v>
      </c>
    </row>
    <row r="93" spans="1:10" ht="31.5">
      <c r="A93" s="46" t="s">
        <v>137</v>
      </c>
      <c r="B93" s="41" t="s">
        <v>11</v>
      </c>
      <c r="C93" s="41" t="s">
        <v>123</v>
      </c>
      <c r="D93" s="41" t="s">
        <v>18</v>
      </c>
      <c r="E93" s="41" t="s">
        <v>126</v>
      </c>
      <c r="F93" s="41" t="s">
        <v>16</v>
      </c>
      <c r="G93" s="41" t="s">
        <v>339</v>
      </c>
      <c r="H93" s="41" t="s">
        <v>127</v>
      </c>
      <c r="I93" s="192">
        <f>'Приложение 6'!J84</f>
        <v>40</v>
      </c>
      <c r="J93" s="192">
        <f>'Приложение 6'!K84</f>
        <v>32.9</v>
      </c>
    </row>
    <row r="94" spans="1:10" ht="31.5">
      <c r="A94" s="40" t="s">
        <v>342</v>
      </c>
      <c r="B94" s="41" t="s">
        <v>11</v>
      </c>
      <c r="C94" s="42">
        <v>13</v>
      </c>
      <c r="D94" s="41" t="s">
        <v>18</v>
      </c>
      <c r="E94" s="42">
        <v>1</v>
      </c>
      <c r="F94" s="41" t="s">
        <v>66</v>
      </c>
      <c r="G94" s="41" t="s">
        <v>423</v>
      </c>
      <c r="H94" s="42"/>
      <c r="I94" s="192">
        <f>I95</f>
        <v>50</v>
      </c>
      <c r="J94" s="192">
        <f>J95</f>
        <v>41</v>
      </c>
    </row>
    <row r="95" spans="1:10" ht="47.25">
      <c r="A95" s="46" t="s">
        <v>125</v>
      </c>
      <c r="B95" s="41" t="s">
        <v>11</v>
      </c>
      <c r="C95" s="41" t="s">
        <v>123</v>
      </c>
      <c r="D95" s="41" t="s">
        <v>18</v>
      </c>
      <c r="E95" s="41" t="s">
        <v>126</v>
      </c>
      <c r="F95" s="41" t="s">
        <v>66</v>
      </c>
      <c r="G95" s="41" t="s">
        <v>339</v>
      </c>
      <c r="H95" s="41"/>
      <c r="I95" s="192">
        <f>I96</f>
        <v>50</v>
      </c>
      <c r="J95" s="192">
        <f>J96</f>
        <v>41</v>
      </c>
    </row>
    <row r="96" spans="1:10" ht="31.5">
      <c r="A96" s="46" t="s">
        <v>137</v>
      </c>
      <c r="B96" s="41" t="s">
        <v>11</v>
      </c>
      <c r="C96" s="41" t="s">
        <v>123</v>
      </c>
      <c r="D96" s="41" t="s">
        <v>18</v>
      </c>
      <c r="E96" s="41" t="s">
        <v>126</v>
      </c>
      <c r="F96" s="41" t="s">
        <v>66</v>
      </c>
      <c r="G96" s="41" t="s">
        <v>339</v>
      </c>
      <c r="H96" s="41" t="s">
        <v>127</v>
      </c>
      <c r="I96" s="192">
        <f>'Приложение 6'!J87</f>
        <v>50</v>
      </c>
      <c r="J96" s="192">
        <f>'Приложение 6'!K87</f>
        <v>41</v>
      </c>
    </row>
    <row r="97" spans="1:10" ht="47.25">
      <c r="A97" s="40" t="s">
        <v>428</v>
      </c>
      <c r="B97" s="41" t="s">
        <v>11</v>
      </c>
      <c r="C97" s="42">
        <v>13</v>
      </c>
      <c r="D97" s="41" t="s">
        <v>19</v>
      </c>
      <c r="E97" s="42">
        <v>0</v>
      </c>
      <c r="F97" s="41" t="s">
        <v>315</v>
      </c>
      <c r="G97" s="41" t="s">
        <v>423</v>
      </c>
      <c r="H97" s="42"/>
      <c r="I97" s="192">
        <f t="shared" ref="I97:J99" si="3">I98</f>
        <v>127.2</v>
      </c>
      <c r="J97" s="192">
        <f t="shared" si="3"/>
        <v>104.7</v>
      </c>
    </row>
    <row r="98" spans="1:10" ht="47.25">
      <c r="A98" s="40" t="s">
        <v>133</v>
      </c>
      <c r="B98" s="41" t="s">
        <v>11</v>
      </c>
      <c r="C98" s="42">
        <v>13</v>
      </c>
      <c r="D98" s="41" t="s">
        <v>19</v>
      </c>
      <c r="E98" s="42">
        <v>0</v>
      </c>
      <c r="F98" s="41" t="s">
        <v>315</v>
      </c>
      <c r="G98" s="41" t="s">
        <v>423</v>
      </c>
      <c r="H98" s="42"/>
      <c r="I98" s="192">
        <f t="shared" si="3"/>
        <v>127.2</v>
      </c>
      <c r="J98" s="192">
        <f t="shared" si="3"/>
        <v>104.7</v>
      </c>
    </row>
    <row r="99" spans="1:10" ht="47.25">
      <c r="A99" s="46" t="s">
        <v>129</v>
      </c>
      <c r="B99" s="41" t="s">
        <v>11</v>
      </c>
      <c r="C99" s="41" t="s">
        <v>123</v>
      </c>
      <c r="D99" s="41" t="s">
        <v>19</v>
      </c>
      <c r="E99" s="41" t="s">
        <v>128</v>
      </c>
      <c r="F99" s="41" t="s">
        <v>315</v>
      </c>
      <c r="G99" s="41" t="s">
        <v>343</v>
      </c>
      <c r="H99" s="41"/>
      <c r="I99" s="192">
        <f t="shared" si="3"/>
        <v>127.2</v>
      </c>
      <c r="J99" s="192">
        <f t="shared" si="3"/>
        <v>104.7</v>
      </c>
    </row>
    <row r="100" spans="1:10" ht="31.5">
      <c r="A100" s="46" t="s">
        <v>137</v>
      </c>
      <c r="B100" s="41" t="s">
        <v>11</v>
      </c>
      <c r="C100" s="41" t="s">
        <v>123</v>
      </c>
      <c r="D100" s="41" t="s">
        <v>19</v>
      </c>
      <c r="E100" s="41" t="s">
        <v>128</v>
      </c>
      <c r="F100" s="41" t="s">
        <v>315</v>
      </c>
      <c r="G100" s="41" t="s">
        <v>343</v>
      </c>
      <c r="H100" s="41" t="s">
        <v>127</v>
      </c>
      <c r="I100" s="192">
        <f>'Приложение 6'!J91</f>
        <v>127.2</v>
      </c>
      <c r="J100" s="192">
        <f>'Приложение 6'!K91</f>
        <v>104.7</v>
      </c>
    </row>
    <row r="101" spans="1:10" ht="63">
      <c r="A101" s="40" t="s">
        <v>422</v>
      </c>
      <c r="B101" s="41" t="s">
        <v>11</v>
      </c>
      <c r="C101" s="42">
        <v>13</v>
      </c>
      <c r="D101" s="41" t="s">
        <v>37</v>
      </c>
      <c r="E101" s="42">
        <v>0</v>
      </c>
      <c r="F101" s="41" t="s">
        <v>315</v>
      </c>
      <c r="G101" s="41" t="s">
        <v>423</v>
      </c>
      <c r="H101" s="42"/>
      <c r="I101" s="192">
        <f t="shared" ref="I101:J103" si="4">I102</f>
        <v>68.599999999999994</v>
      </c>
      <c r="J101" s="192">
        <f t="shared" si="4"/>
        <v>66.7</v>
      </c>
    </row>
    <row r="102" spans="1:10" ht="31.5">
      <c r="A102" s="46" t="s">
        <v>313</v>
      </c>
      <c r="B102" s="41" t="s">
        <v>11</v>
      </c>
      <c r="C102" s="41" t="s">
        <v>123</v>
      </c>
      <c r="D102" s="41" t="s">
        <v>37</v>
      </c>
      <c r="E102" s="41" t="s">
        <v>128</v>
      </c>
      <c r="F102" s="41" t="s">
        <v>11</v>
      </c>
      <c r="G102" s="41" t="s">
        <v>423</v>
      </c>
      <c r="H102" s="41"/>
      <c r="I102" s="192">
        <f t="shared" si="4"/>
        <v>68.599999999999994</v>
      </c>
      <c r="J102" s="192">
        <f t="shared" si="4"/>
        <v>66.7</v>
      </c>
    </row>
    <row r="103" spans="1:10" ht="31.5">
      <c r="A103" s="46" t="s">
        <v>313</v>
      </c>
      <c r="B103" s="41" t="s">
        <v>11</v>
      </c>
      <c r="C103" s="41" t="s">
        <v>123</v>
      </c>
      <c r="D103" s="41" t="s">
        <v>37</v>
      </c>
      <c r="E103" s="41" t="s">
        <v>128</v>
      </c>
      <c r="F103" s="41" t="s">
        <v>11</v>
      </c>
      <c r="G103" s="41" t="s">
        <v>314</v>
      </c>
      <c r="H103" s="41"/>
      <c r="I103" s="192">
        <f t="shared" si="4"/>
        <v>68.599999999999994</v>
      </c>
      <c r="J103" s="192">
        <f t="shared" si="4"/>
        <v>66.7</v>
      </c>
    </row>
    <row r="104" spans="1:10" ht="31.5">
      <c r="A104" s="46" t="s">
        <v>137</v>
      </c>
      <c r="B104" s="41" t="s">
        <v>11</v>
      </c>
      <c r="C104" s="41" t="s">
        <v>123</v>
      </c>
      <c r="D104" s="41" t="s">
        <v>37</v>
      </c>
      <c r="E104" s="41" t="s">
        <v>128</v>
      </c>
      <c r="F104" s="41" t="s">
        <v>11</v>
      </c>
      <c r="G104" s="41" t="s">
        <v>314</v>
      </c>
      <c r="H104" s="41" t="s">
        <v>127</v>
      </c>
      <c r="I104" s="192">
        <f>'Приложение 6'!J95</f>
        <v>68.599999999999994</v>
      </c>
      <c r="J104" s="192">
        <f>'Приложение 6'!K95</f>
        <v>66.7</v>
      </c>
    </row>
    <row r="105" spans="1:10" ht="63">
      <c r="A105" s="40" t="s">
        <v>430</v>
      </c>
      <c r="B105" s="41" t="s">
        <v>11</v>
      </c>
      <c r="C105" s="42">
        <v>13</v>
      </c>
      <c r="D105" s="41" t="s">
        <v>123</v>
      </c>
      <c r="E105" s="42">
        <v>0</v>
      </c>
      <c r="F105" s="41" t="s">
        <v>315</v>
      </c>
      <c r="G105" s="41" t="s">
        <v>423</v>
      </c>
      <c r="H105" s="42"/>
      <c r="I105" s="192">
        <f>I106+I109</f>
        <v>44.599999999999994</v>
      </c>
      <c r="J105" s="192">
        <f>J106+J109</f>
        <v>44.5</v>
      </c>
    </row>
    <row r="106" spans="1:10" ht="63">
      <c r="A106" s="46" t="s">
        <v>517</v>
      </c>
      <c r="B106" s="41" t="s">
        <v>11</v>
      </c>
      <c r="C106" s="41" t="s">
        <v>123</v>
      </c>
      <c r="D106" s="41" t="s">
        <v>123</v>
      </c>
      <c r="E106" s="41" t="s">
        <v>128</v>
      </c>
      <c r="F106" s="41" t="s">
        <v>15</v>
      </c>
      <c r="G106" s="41"/>
      <c r="H106" s="41"/>
      <c r="I106" s="192">
        <f>I107</f>
        <v>20.399999999999999</v>
      </c>
      <c r="J106" s="192">
        <f>J107</f>
        <v>20.3</v>
      </c>
    </row>
    <row r="107" spans="1:10" ht="31.5">
      <c r="A107" s="46" t="s">
        <v>518</v>
      </c>
      <c r="B107" s="41" t="s">
        <v>11</v>
      </c>
      <c r="C107" s="41" t="s">
        <v>123</v>
      </c>
      <c r="D107" s="41" t="s">
        <v>123</v>
      </c>
      <c r="E107" s="41" t="s">
        <v>128</v>
      </c>
      <c r="F107" s="41" t="s">
        <v>15</v>
      </c>
      <c r="G107" s="41" t="s">
        <v>519</v>
      </c>
      <c r="H107" s="41"/>
      <c r="I107" s="192">
        <f>I108</f>
        <v>20.399999999999999</v>
      </c>
      <c r="J107" s="192">
        <f>J108</f>
        <v>20.3</v>
      </c>
    </row>
    <row r="108" spans="1:10" ht="31.5">
      <c r="A108" s="46" t="s">
        <v>137</v>
      </c>
      <c r="B108" s="41" t="s">
        <v>11</v>
      </c>
      <c r="C108" s="41" t="s">
        <v>123</v>
      </c>
      <c r="D108" s="41" t="s">
        <v>123</v>
      </c>
      <c r="E108" s="41" t="s">
        <v>128</v>
      </c>
      <c r="F108" s="41" t="s">
        <v>15</v>
      </c>
      <c r="G108" s="41" t="s">
        <v>519</v>
      </c>
      <c r="H108" s="41" t="s">
        <v>127</v>
      </c>
      <c r="I108" s="192">
        <f>'Приложение 6'!J99</f>
        <v>20.399999999999999</v>
      </c>
      <c r="J108" s="192">
        <f>'Приложение 6'!K99</f>
        <v>20.3</v>
      </c>
    </row>
    <row r="109" spans="1:10" ht="63">
      <c r="A109" s="46" t="s">
        <v>520</v>
      </c>
      <c r="B109" s="41" t="s">
        <v>11</v>
      </c>
      <c r="C109" s="41" t="s">
        <v>123</v>
      </c>
      <c r="D109" s="41" t="s">
        <v>123</v>
      </c>
      <c r="E109" s="41" t="s">
        <v>128</v>
      </c>
      <c r="F109" s="41" t="s">
        <v>16</v>
      </c>
      <c r="G109" s="41"/>
      <c r="H109" s="41"/>
      <c r="I109" s="192">
        <f>I110</f>
        <v>24.2</v>
      </c>
      <c r="J109" s="192">
        <f>J110</f>
        <v>24.2</v>
      </c>
    </row>
    <row r="110" spans="1:10" ht="31.5">
      <c r="A110" s="46" t="s">
        <v>521</v>
      </c>
      <c r="B110" s="41" t="s">
        <v>11</v>
      </c>
      <c r="C110" s="41" t="s">
        <v>123</v>
      </c>
      <c r="D110" s="41" t="s">
        <v>123</v>
      </c>
      <c r="E110" s="41" t="s">
        <v>128</v>
      </c>
      <c r="F110" s="41" t="s">
        <v>16</v>
      </c>
      <c r="G110" s="41" t="s">
        <v>522</v>
      </c>
      <c r="H110" s="41"/>
      <c r="I110" s="192">
        <f>I111</f>
        <v>24.2</v>
      </c>
      <c r="J110" s="192">
        <f>J111</f>
        <v>24.2</v>
      </c>
    </row>
    <row r="111" spans="1:10" ht="31.5">
      <c r="A111" s="46" t="s">
        <v>137</v>
      </c>
      <c r="B111" s="41" t="s">
        <v>11</v>
      </c>
      <c r="C111" s="41" t="s">
        <v>123</v>
      </c>
      <c r="D111" s="41" t="s">
        <v>123</v>
      </c>
      <c r="E111" s="41" t="s">
        <v>128</v>
      </c>
      <c r="F111" s="41" t="s">
        <v>16</v>
      </c>
      <c r="G111" s="41" t="s">
        <v>522</v>
      </c>
      <c r="H111" s="41" t="s">
        <v>127</v>
      </c>
      <c r="I111" s="192">
        <f>'Приложение 6'!J102</f>
        <v>24.2</v>
      </c>
      <c r="J111" s="192">
        <f>'Приложение 6'!K102</f>
        <v>24.2</v>
      </c>
    </row>
    <row r="112" spans="1:10" ht="15.75">
      <c r="A112" s="40" t="s">
        <v>47</v>
      </c>
      <c r="B112" s="41" t="s">
        <v>11</v>
      </c>
      <c r="C112" s="42">
        <v>13</v>
      </c>
      <c r="D112" s="41" t="s">
        <v>104</v>
      </c>
      <c r="E112" s="42">
        <v>0</v>
      </c>
      <c r="F112" s="41" t="s">
        <v>315</v>
      </c>
      <c r="G112" s="41" t="s">
        <v>423</v>
      </c>
      <c r="H112" s="42"/>
      <c r="I112" s="192">
        <f>I113</f>
        <v>250</v>
      </c>
      <c r="J112" s="192">
        <f>J113</f>
        <v>217.7</v>
      </c>
    </row>
    <row r="113" spans="1:10" ht="31.5">
      <c r="A113" s="40" t="s">
        <v>48</v>
      </c>
      <c r="B113" s="41" t="s">
        <v>11</v>
      </c>
      <c r="C113" s="42">
        <v>13</v>
      </c>
      <c r="D113" s="42">
        <v>91</v>
      </c>
      <c r="E113" s="42">
        <v>1</v>
      </c>
      <c r="F113" s="41" t="s">
        <v>315</v>
      </c>
      <c r="G113" s="41" t="s">
        <v>423</v>
      </c>
      <c r="H113" s="42"/>
      <c r="I113" s="192">
        <f>I114+I116</f>
        <v>250</v>
      </c>
      <c r="J113" s="192">
        <f>J114+J116</f>
        <v>217.7</v>
      </c>
    </row>
    <row r="114" spans="1:10" ht="47.25">
      <c r="A114" s="40" t="s">
        <v>138</v>
      </c>
      <c r="B114" s="41" t="s">
        <v>11</v>
      </c>
      <c r="C114" s="42">
        <v>13</v>
      </c>
      <c r="D114" s="42">
        <v>91</v>
      </c>
      <c r="E114" s="42">
        <v>1</v>
      </c>
      <c r="F114" s="41" t="s">
        <v>315</v>
      </c>
      <c r="G114" s="41" t="s">
        <v>397</v>
      </c>
      <c r="H114" s="42"/>
      <c r="I114" s="192">
        <f>I115</f>
        <v>50</v>
      </c>
      <c r="J114" s="192">
        <f>J115</f>
        <v>35.299999999999997</v>
      </c>
    </row>
    <row r="115" spans="1:10" ht="31.5">
      <c r="A115" s="40" t="s">
        <v>137</v>
      </c>
      <c r="B115" s="41" t="s">
        <v>11</v>
      </c>
      <c r="C115" s="42">
        <v>13</v>
      </c>
      <c r="D115" s="42">
        <v>91</v>
      </c>
      <c r="E115" s="42">
        <v>1</v>
      </c>
      <c r="F115" s="41" t="s">
        <v>315</v>
      </c>
      <c r="G115" s="41" t="s">
        <v>397</v>
      </c>
      <c r="H115" s="42">
        <v>240</v>
      </c>
      <c r="I115" s="192">
        <f>'Приложение 6'!J330</f>
        <v>50</v>
      </c>
      <c r="J115" s="192">
        <f>'Приложение 6'!K330</f>
        <v>35.299999999999997</v>
      </c>
    </row>
    <row r="116" spans="1:10" ht="15.75">
      <c r="A116" s="46" t="s">
        <v>105</v>
      </c>
      <c r="B116" s="41" t="s">
        <v>11</v>
      </c>
      <c r="C116" s="42">
        <v>13</v>
      </c>
      <c r="D116" s="41" t="s">
        <v>104</v>
      </c>
      <c r="E116" s="42">
        <v>1</v>
      </c>
      <c r="F116" s="41" t="s">
        <v>315</v>
      </c>
      <c r="G116" s="41" t="s">
        <v>345</v>
      </c>
      <c r="H116" s="42"/>
      <c r="I116" s="192">
        <f>I117</f>
        <v>200</v>
      </c>
      <c r="J116" s="192">
        <f>J117</f>
        <v>182.4</v>
      </c>
    </row>
    <row r="117" spans="1:10" ht="31.5">
      <c r="A117" s="46" t="s">
        <v>137</v>
      </c>
      <c r="B117" s="41" t="s">
        <v>11</v>
      </c>
      <c r="C117" s="42">
        <v>13</v>
      </c>
      <c r="D117" s="41" t="s">
        <v>104</v>
      </c>
      <c r="E117" s="42">
        <v>1</v>
      </c>
      <c r="F117" s="41" t="s">
        <v>315</v>
      </c>
      <c r="G117" s="41" t="s">
        <v>345</v>
      </c>
      <c r="H117" s="42">
        <v>240</v>
      </c>
      <c r="I117" s="192">
        <f>'Приложение 6'!J332</f>
        <v>200</v>
      </c>
      <c r="J117" s="192">
        <f>'Приложение 6'!K332</f>
        <v>182.4</v>
      </c>
    </row>
    <row r="118" spans="1:10" ht="31.5">
      <c r="A118" s="46" t="s">
        <v>108</v>
      </c>
      <c r="B118" s="41" t="s">
        <v>11</v>
      </c>
      <c r="C118" s="41" t="s">
        <v>123</v>
      </c>
      <c r="D118" s="42">
        <v>92</v>
      </c>
      <c r="E118" s="41"/>
      <c r="F118" s="41"/>
      <c r="G118" s="42"/>
      <c r="H118" s="41"/>
      <c r="I118" s="192">
        <f>I119</f>
        <v>275.09999999999997</v>
      </c>
      <c r="J118" s="192">
        <f>J119</f>
        <v>274.90000000000003</v>
      </c>
    </row>
    <row r="119" spans="1:10" ht="31.5">
      <c r="A119" s="46" t="s">
        <v>140</v>
      </c>
      <c r="B119" s="41" t="s">
        <v>11</v>
      </c>
      <c r="C119" s="41" t="s">
        <v>123</v>
      </c>
      <c r="D119" s="42">
        <v>92</v>
      </c>
      <c r="E119" s="41" t="s">
        <v>330</v>
      </c>
      <c r="F119" s="41"/>
      <c r="G119" s="42"/>
      <c r="H119" s="41"/>
      <c r="I119" s="192">
        <f>I120</f>
        <v>275.09999999999997</v>
      </c>
      <c r="J119" s="192">
        <f>J120</f>
        <v>274.90000000000003</v>
      </c>
    </row>
    <row r="120" spans="1:10" ht="63">
      <c r="A120" s="46" t="s">
        <v>344</v>
      </c>
      <c r="B120" s="41" t="s">
        <v>11</v>
      </c>
      <c r="C120" s="41" t="s">
        <v>123</v>
      </c>
      <c r="D120" s="42">
        <v>92</v>
      </c>
      <c r="E120" s="41" t="s">
        <v>330</v>
      </c>
      <c r="F120" s="41" t="s">
        <v>315</v>
      </c>
      <c r="G120" s="42"/>
      <c r="H120" s="41"/>
      <c r="I120" s="192">
        <f>SUM(I121:I123)</f>
        <v>275.09999999999997</v>
      </c>
      <c r="J120" s="192">
        <f>SUM(J121:J123)</f>
        <v>274.90000000000003</v>
      </c>
    </row>
    <row r="121" spans="1:10" ht="31.5">
      <c r="A121" s="46" t="s">
        <v>137</v>
      </c>
      <c r="B121" s="41" t="s">
        <v>11</v>
      </c>
      <c r="C121" s="41" t="s">
        <v>123</v>
      </c>
      <c r="D121" s="42">
        <v>92</v>
      </c>
      <c r="E121" s="41" t="s">
        <v>330</v>
      </c>
      <c r="F121" s="41" t="s">
        <v>315</v>
      </c>
      <c r="G121" s="42">
        <v>26390</v>
      </c>
      <c r="H121" s="41" t="s">
        <v>127</v>
      </c>
      <c r="I121" s="192">
        <f>'Приложение 6'!J106</f>
        <v>7.2</v>
      </c>
      <c r="J121" s="192">
        <f>'Приложение 6'!K106</f>
        <v>7.1</v>
      </c>
    </row>
    <row r="122" spans="1:10" ht="15.75">
      <c r="A122" s="46" t="s">
        <v>523</v>
      </c>
      <c r="B122" s="41" t="s">
        <v>11</v>
      </c>
      <c r="C122" s="41" t="s">
        <v>123</v>
      </c>
      <c r="D122" s="42">
        <v>92</v>
      </c>
      <c r="E122" s="41" t="s">
        <v>330</v>
      </c>
      <c r="F122" s="41" t="s">
        <v>315</v>
      </c>
      <c r="G122" s="42">
        <v>26390</v>
      </c>
      <c r="H122" s="41" t="s">
        <v>524</v>
      </c>
      <c r="I122" s="192">
        <f>'Приложение 6'!J107</f>
        <v>266.89999999999998</v>
      </c>
      <c r="J122" s="192">
        <f>'Приложение 6'!K107</f>
        <v>266.8</v>
      </c>
    </row>
    <row r="123" spans="1:10" ht="15.75">
      <c r="A123" s="46" t="s">
        <v>117</v>
      </c>
      <c r="B123" s="41" t="s">
        <v>11</v>
      </c>
      <c r="C123" s="41" t="s">
        <v>123</v>
      </c>
      <c r="D123" s="42">
        <v>92</v>
      </c>
      <c r="E123" s="41" t="s">
        <v>330</v>
      </c>
      <c r="F123" s="41" t="s">
        <v>315</v>
      </c>
      <c r="G123" s="42">
        <v>26390</v>
      </c>
      <c r="H123" s="41" t="s">
        <v>431</v>
      </c>
      <c r="I123" s="192">
        <f>'Приложение 6'!J108</f>
        <v>1</v>
      </c>
      <c r="J123" s="192">
        <f>'Приложение 6'!K108</f>
        <v>1</v>
      </c>
    </row>
    <row r="124" spans="1:10" s="7" customFormat="1" ht="15.75">
      <c r="A124" s="213" t="s">
        <v>274</v>
      </c>
      <c r="B124" s="214" t="s">
        <v>13</v>
      </c>
      <c r="C124" s="215" t="s">
        <v>9</v>
      </c>
      <c r="D124" s="214" t="s">
        <v>10</v>
      </c>
      <c r="E124" s="215"/>
      <c r="F124" s="214"/>
      <c r="G124" s="214"/>
      <c r="H124" s="215" t="s">
        <v>8</v>
      </c>
      <c r="I124" s="211">
        <f t="shared" ref="I124:J128" si="5">I125</f>
        <v>399.1</v>
      </c>
      <c r="J124" s="211">
        <f t="shared" si="5"/>
        <v>399.1</v>
      </c>
    </row>
    <row r="125" spans="1:10" ht="15.75">
      <c r="A125" s="203" t="s">
        <v>2</v>
      </c>
      <c r="B125" s="41" t="s">
        <v>13</v>
      </c>
      <c r="C125" s="41" t="s">
        <v>12</v>
      </c>
      <c r="D125" s="41" t="s">
        <v>10</v>
      </c>
      <c r="E125" s="42"/>
      <c r="F125" s="41"/>
      <c r="G125" s="41"/>
      <c r="H125" s="42" t="s">
        <v>8</v>
      </c>
      <c r="I125" s="192">
        <f t="shared" si="5"/>
        <v>399.1</v>
      </c>
      <c r="J125" s="192">
        <f t="shared" si="5"/>
        <v>399.1</v>
      </c>
    </row>
    <row r="126" spans="1:10" ht="15.75">
      <c r="A126" s="46" t="s">
        <v>58</v>
      </c>
      <c r="B126" s="41" t="s">
        <v>13</v>
      </c>
      <c r="C126" s="41" t="s">
        <v>12</v>
      </c>
      <c r="D126" s="41" t="s">
        <v>45</v>
      </c>
      <c r="E126" s="42">
        <v>0</v>
      </c>
      <c r="F126" s="41" t="s">
        <v>315</v>
      </c>
      <c r="G126" s="41" t="s">
        <v>423</v>
      </c>
      <c r="H126" s="42"/>
      <c r="I126" s="192">
        <f t="shared" si="5"/>
        <v>399.1</v>
      </c>
      <c r="J126" s="192">
        <f t="shared" si="5"/>
        <v>399.1</v>
      </c>
    </row>
    <row r="127" spans="1:10" ht="15.75">
      <c r="A127" s="46" t="s">
        <v>59</v>
      </c>
      <c r="B127" s="41" t="s">
        <v>13</v>
      </c>
      <c r="C127" s="41" t="s">
        <v>12</v>
      </c>
      <c r="D127" s="41" t="s">
        <v>45</v>
      </c>
      <c r="E127" s="42">
        <v>9</v>
      </c>
      <c r="F127" s="41" t="s">
        <v>315</v>
      </c>
      <c r="G127" s="41" t="s">
        <v>423</v>
      </c>
      <c r="H127" s="42"/>
      <c r="I127" s="192">
        <f t="shared" si="5"/>
        <v>399.1</v>
      </c>
      <c r="J127" s="192">
        <f t="shared" si="5"/>
        <v>399.1</v>
      </c>
    </row>
    <row r="128" spans="1:10" ht="63">
      <c r="A128" s="40" t="s">
        <v>60</v>
      </c>
      <c r="B128" s="41" t="s">
        <v>13</v>
      </c>
      <c r="C128" s="41" t="s">
        <v>12</v>
      </c>
      <c r="D128" s="41" t="s">
        <v>45</v>
      </c>
      <c r="E128" s="42">
        <v>9</v>
      </c>
      <c r="F128" s="41" t="s">
        <v>315</v>
      </c>
      <c r="G128" s="41" t="s">
        <v>346</v>
      </c>
      <c r="H128" s="42"/>
      <c r="I128" s="192">
        <f t="shared" si="5"/>
        <v>399.1</v>
      </c>
      <c r="J128" s="192">
        <f t="shared" si="5"/>
        <v>399.1</v>
      </c>
    </row>
    <row r="129" spans="1:10" ht="31.5">
      <c r="A129" s="40" t="s">
        <v>116</v>
      </c>
      <c r="B129" s="41" t="s">
        <v>13</v>
      </c>
      <c r="C129" s="41" t="s">
        <v>12</v>
      </c>
      <c r="D129" s="41" t="s">
        <v>45</v>
      </c>
      <c r="E129" s="42">
        <v>9</v>
      </c>
      <c r="F129" s="41" t="s">
        <v>315</v>
      </c>
      <c r="G129" s="41" t="s">
        <v>346</v>
      </c>
      <c r="H129" s="42">
        <v>120</v>
      </c>
      <c r="I129" s="192">
        <f>'Приложение 6'!J112</f>
        <v>399.1</v>
      </c>
      <c r="J129" s="192">
        <f>'Приложение 6'!K112</f>
        <v>399.1</v>
      </c>
    </row>
    <row r="130" spans="1:10" s="7" customFormat="1" ht="31.5">
      <c r="A130" s="213" t="s">
        <v>275</v>
      </c>
      <c r="B130" s="214" t="s">
        <v>12</v>
      </c>
      <c r="C130" s="214"/>
      <c r="D130" s="214"/>
      <c r="E130" s="215"/>
      <c r="F130" s="214"/>
      <c r="G130" s="214"/>
      <c r="H130" s="215"/>
      <c r="I130" s="212">
        <f>I131+I147+I152</f>
        <v>273.60000000000002</v>
      </c>
      <c r="J130" s="212">
        <f>J131+J147+J152</f>
        <v>142.6</v>
      </c>
    </row>
    <row r="131" spans="1:10" ht="47.25">
      <c r="A131" s="40" t="s">
        <v>32</v>
      </c>
      <c r="B131" s="41" t="s">
        <v>12</v>
      </c>
      <c r="C131" s="41" t="s">
        <v>25</v>
      </c>
      <c r="D131" s="41"/>
      <c r="E131" s="42"/>
      <c r="F131" s="41"/>
      <c r="G131" s="41"/>
      <c r="H131" s="42"/>
      <c r="I131" s="192">
        <f>I132+I143</f>
        <v>149.19999999999999</v>
      </c>
      <c r="J131" s="192">
        <f>J132+J143</f>
        <v>119.7</v>
      </c>
    </row>
    <row r="132" spans="1:10" ht="126">
      <c r="A132" s="40" t="s">
        <v>432</v>
      </c>
      <c r="B132" s="41" t="s">
        <v>12</v>
      </c>
      <c r="C132" s="41" t="s">
        <v>25</v>
      </c>
      <c r="D132" s="41" t="s">
        <v>13</v>
      </c>
      <c r="E132" s="42">
        <v>0</v>
      </c>
      <c r="F132" s="41" t="s">
        <v>315</v>
      </c>
      <c r="G132" s="41" t="s">
        <v>423</v>
      </c>
      <c r="H132" s="42"/>
      <c r="I132" s="192">
        <f>I133+I138</f>
        <v>114</v>
      </c>
      <c r="J132" s="192">
        <f>J133+J138</f>
        <v>84.5</v>
      </c>
    </row>
    <row r="133" spans="1:10" ht="31.5">
      <c r="A133" s="46" t="s">
        <v>347</v>
      </c>
      <c r="B133" s="41" t="s">
        <v>12</v>
      </c>
      <c r="C133" s="41" t="s">
        <v>25</v>
      </c>
      <c r="D133" s="41" t="s">
        <v>13</v>
      </c>
      <c r="E133" s="42">
        <v>1</v>
      </c>
      <c r="F133" s="41" t="s">
        <v>315</v>
      </c>
      <c r="G133" s="41" t="s">
        <v>423</v>
      </c>
      <c r="H133" s="42"/>
      <c r="I133" s="192">
        <f>I134+I136</f>
        <v>75.599999999999994</v>
      </c>
      <c r="J133" s="192">
        <f>J134+J136</f>
        <v>75.5</v>
      </c>
    </row>
    <row r="134" spans="1:10" ht="47.25">
      <c r="A134" s="46" t="s">
        <v>348</v>
      </c>
      <c r="B134" s="41" t="s">
        <v>12</v>
      </c>
      <c r="C134" s="41" t="s">
        <v>25</v>
      </c>
      <c r="D134" s="41" t="s">
        <v>13</v>
      </c>
      <c r="E134" s="42">
        <v>1</v>
      </c>
      <c r="F134" s="41" t="s">
        <v>315</v>
      </c>
      <c r="G134" s="41" t="s">
        <v>349</v>
      </c>
      <c r="H134" s="42"/>
      <c r="I134" s="192">
        <f>I135</f>
        <v>3.5</v>
      </c>
      <c r="J134" s="192">
        <f>J135</f>
        <v>3.5</v>
      </c>
    </row>
    <row r="135" spans="1:10" ht="31.5">
      <c r="A135" s="46" t="s">
        <v>137</v>
      </c>
      <c r="B135" s="41" t="s">
        <v>12</v>
      </c>
      <c r="C135" s="41" t="s">
        <v>25</v>
      </c>
      <c r="D135" s="41" t="s">
        <v>13</v>
      </c>
      <c r="E135" s="42">
        <v>1</v>
      </c>
      <c r="F135" s="41" t="s">
        <v>315</v>
      </c>
      <c r="G135" s="41" t="s">
        <v>349</v>
      </c>
      <c r="H135" s="42">
        <v>240</v>
      </c>
      <c r="I135" s="192">
        <f>'Приложение 6'!J120</f>
        <v>3.5</v>
      </c>
      <c r="J135" s="192">
        <f>'Приложение 6'!K120</f>
        <v>3.5</v>
      </c>
    </row>
    <row r="136" spans="1:10" ht="15.75">
      <c r="A136" s="46" t="s">
        <v>525</v>
      </c>
      <c r="B136" s="41" t="s">
        <v>12</v>
      </c>
      <c r="C136" s="41" t="s">
        <v>25</v>
      </c>
      <c r="D136" s="41" t="s">
        <v>13</v>
      </c>
      <c r="E136" s="42">
        <v>1</v>
      </c>
      <c r="F136" s="41" t="s">
        <v>315</v>
      </c>
      <c r="G136" s="41" t="s">
        <v>526</v>
      </c>
      <c r="H136" s="42"/>
      <c r="I136" s="192">
        <f>I137</f>
        <v>72.099999999999994</v>
      </c>
      <c r="J136" s="192">
        <f>J137</f>
        <v>72</v>
      </c>
    </row>
    <row r="137" spans="1:10" ht="31.5">
      <c r="A137" s="46" t="s">
        <v>137</v>
      </c>
      <c r="B137" s="41" t="s">
        <v>12</v>
      </c>
      <c r="C137" s="41" t="s">
        <v>25</v>
      </c>
      <c r="D137" s="41" t="s">
        <v>13</v>
      </c>
      <c r="E137" s="42">
        <v>1</v>
      </c>
      <c r="F137" s="41" t="s">
        <v>315</v>
      </c>
      <c r="G137" s="41" t="s">
        <v>526</v>
      </c>
      <c r="H137" s="42">
        <v>240</v>
      </c>
      <c r="I137" s="192">
        <f>'Приложение 6'!J122</f>
        <v>72.099999999999994</v>
      </c>
      <c r="J137" s="192">
        <f>'Приложение 6'!K122</f>
        <v>72</v>
      </c>
    </row>
    <row r="138" spans="1:10" ht="78.75">
      <c r="A138" s="46" t="s">
        <v>350</v>
      </c>
      <c r="B138" s="41" t="s">
        <v>12</v>
      </c>
      <c r="C138" s="41" t="s">
        <v>25</v>
      </c>
      <c r="D138" s="41" t="s">
        <v>13</v>
      </c>
      <c r="E138" s="42">
        <v>3</v>
      </c>
      <c r="F138" s="41" t="s">
        <v>315</v>
      </c>
      <c r="G138" s="41" t="s">
        <v>423</v>
      </c>
      <c r="H138" s="42"/>
      <c r="I138" s="192">
        <f>I139+I141</f>
        <v>38.4</v>
      </c>
      <c r="J138" s="192">
        <f>J139+J141</f>
        <v>9</v>
      </c>
    </row>
    <row r="139" spans="1:10" ht="47.25">
      <c r="A139" s="46" t="s">
        <v>433</v>
      </c>
      <c r="B139" s="41" t="s">
        <v>12</v>
      </c>
      <c r="C139" s="41" t="s">
        <v>25</v>
      </c>
      <c r="D139" s="41" t="s">
        <v>13</v>
      </c>
      <c r="E139" s="42">
        <v>3</v>
      </c>
      <c r="F139" s="41" t="s">
        <v>315</v>
      </c>
      <c r="G139" s="41" t="s">
        <v>434</v>
      </c>
      <c r="H139" s="42"/>
      <c r="I139" s="192">
        <f>I140</f>
        <v>29.4</v>
      </c>
      <c r="J139" s="192">
        <f>J140</f>
        <v>0</v>
      </c>
    </row>
    <row r="140" spans="1:10" ht="31.5">
      <c r="A140" s="46" t="s">
        <v>137</v>
      </c>
      <c r="B140" s="41" t="s">
        <v>12</v>
      </c>
      <c r="C140" s="41" t="s">
        <v>25</v>
      </c>
      <c r="D140" s="41" t="s">
        <v>13</v>
      </c>
      <c r="E140" s="42">
        <v>3</v>
      </c>
      <c r="F140" s="41" t="s">
        <v>315</v>
      </c>
      <c r="G140" s="41" t="s">
        <v>434</v>
      </c>
      <c r="H140" s="42">
        <v>240</v>
      </c>
      <c r="I140" s="192">
        <f>'Приложение 6'!J125</f>
        <v>29.4</v>
      </c>
      <c r="J140" s="192">
        <f>'Приложение 6'!K125</f>
        <v>0</v>
      </c>
    </row>
    <row r="141" spans="1:10" ht="47.25">
      <c r="A141" s="46" t="s">
        <v>351</v>
      </c>
      <c r="B141" s="41" t="s">
        <v>12</v>
      </c>
      <c r="C141" s="41" t="s">
        <v>25</v>
      </c>
      <c r="D141" s="41" t="s">
        <v>13</v>
      </c>
      <c r="E141" s="42">
        <v>3</v>
      </c>
      <c r="F141" s="41" t="s">
        <v>315</v>
      </c>
      <c r="G141" s="41" t="s">
        <v>352</v>
      </c>
      <c r="H141" s="42"/>
      <c r="I141" s="192">
        <f>I142</f>
        <v>9</v>
      </c>
      <c r="J141" s="192">
        <f>J142</f>
        <v>9</v>
      </c>
    </row>
    <row r="142" spans="1:10" ht="31.5">
      <c r="A142" s="46" t="s">
        <v>137</v>
      </c>
      <c r="B142" s="41" t="s">
        <v>12</v>
      </c>
      <c r="C142" s="41" t="s">
        <v>25</v>
      </c>
      <c r="D142" s="41" t="s">
        <v>13</v>
      </c>
      <c r="E142" s="42">
        <v>3</v>
      </c>
      <c r="F142" s="41" t="s">
        <v>315</v>
      </c>
      <c r="G142" s="41" t="s">
        <v>352</v>
      </c>
      <c r="H142" s="42">
        <v>240</v>
      </c>
      <c r="I142" s="192">
        <f>'Приложение 6'!J127</f>
        <v>9</v>
      </c>
      <c r="J142" s="192">
        <f>'Приложение 6'!K127</f>
        <v>9</v>
      </c>
    </row>
    <row r="143" spans="1:10" ht="31.5">
      <c r="A143" s="46" t="s">
        <v>54</v>
      </c>
      <c r="B143" s="41" t="s">
        <v>12</v>
      </c>
      <c r="C143" s="41" t="s">
        <v>25</v>
      </c>
      <c r="D143" s="41">
        <v>97</v>
      </c>
      <c r="E143" s="42">
        <v>0</v>
      </c>
      <c r="F143" s="41" t="s">
        <v>315</v>
      </c>
      <c r="G143" s="41" t="s">
        <v>423</v>
      </c>
      <c r="H143" s="42"/>
      <c r="I143" s="192">
        <f t="shared" ref="I143:J145" si="6">I144</f>
        <v>35.200000000000003</v>
      </c>
      <c r="J143" s="192">
        <f t="shared" si="6"/>
        <v>35.200000000000003</v>
      </c>
    </row>
    <row r="144" spans="1:10" ht="78.75">
      <c r="A144" s="46" t="s">
        <v>53</v>
      </c>
      <c r="B144" s="41" t="s">
        <v>12</v>
      </c>
      <c r="C144" s="41" t="s">
        <v>25</v>
      </c>
      <c r="D144" s="41">
        <v>97</v>
      </c>
      <c r="E144" s="42">
        <v>2</v>
      </c>
      <c r="F144" s="41" t="s">
        <v>315</v>
      </c>
      <c r="G144" s="41" t="s">
        <v>423</v>
      </c>
      <c r="H144" s="42"/>
      <c r="I144" s="192">
        <f t="shared" si="6"/>
        <v>35.200000000000003</v>
      </c>
      <c r="J144" s="192">
        <f t="shared" si="6"/>
        <v>35.200000000000003</v>
      </c>
    </row>
    <row r="145" spans="1:10" ht="63">
      <c r="A145" s="46" t="s">
        <v>355</v>
      </c>
      <c r="B145" s="41" t="s">
        <v>12</v>
      </c>
      <c r="C145" s="41" t="s">
        <v>25</v>
      </c>
      <c r="D145" s="41" t="s">
        <v>61</v>
      </c>
      <c r="E145" s="42">
        <v>2</v>
      </c>
      <c r="F145" s="41" t="s">
        <v>315</v>
      </c>
      <c r="G145" s="41" t="s">
        <v>356</v>
      </c>
      <c r="H145" s="42"/>
      <c r="I145" s="192">
        <f t="shared" si="6"/>
        <v>35.200000000000003</v>
      </c>
      <c r="J145" s="192">
        <f t="shared" si="6"/>
        <v>35.200000000000003</v>
      </c>
    </row>
    <row r="146" spans="1:10" s="19" customFormat="1" ht="15.75">
      <c r="A146" s="194" t="s">
        <v>38</v>
      </c>
      <c r="B146" s="41" t="s">
        <v>12</v>
      </c>
      <c r="C146" s="41" t="s">
        <v>25</v>
      </c>
      <c r="D146" s="41" t="s">
        <v>61</v>
      </c>
      <c r="E146" s="42">
        <v>2</v>
      </c>
      <c r="F146" s="41" t="s">
        <v>315</v>
      </c>
      <c r="G146" s="41" t="s">
        <v>356</v>
      </c>
      <c r="H146" s="42">
        <v>540</v>
      </c>
      <c r="I146" s="192">
        <f>'Приложение 6'!J131</f>
        <v>35.200000000000003</v>
      </c>
      <c r="J146" s="192">
        <f>'Приложение 6'!K131</f>
        <v>35.200000000000003</v>
      </c>
    </row>
    <row r="147" spans="1:10" ht="15.75">
      <c r="A147" s="46" t="s">
        <v>435</v>
      </c>
      <c r="B147" s="41" t="s">
        <v>12</v>
      </c>
      <c r="C147" s="41" t="s">
        <v>36</v>
      </c>
      <c r="D147" s="41"/>
      <c r="E147" s="42"/>
      <c r="F147" s="41"/>
      <c r="G147" s="41"/>
      <c r="H147" s="42"/>
      <c r="I147" s="192">
        <f t="shared" ref="I147:J150" si="7">I148</f>
        <v>119.4</v>
      </c>
      <c r="J147" s="192">
        <f t="shared" si="7"/>
        <v>22.9</v>
      </c>
    </row>
    <row r="148" spans="1:10" ht="126">
      <c r="A148" s="46" t="s">
        <v>432</v>
      </c>
      <c r="B148" s="41" t="s">
        <v>12</v>
      </c>
      <c r="C148" s="41" t="s">
        <v>36</v>
      </c>
      <c r="D148" s="41" t="s">
        <v>13</v>
      </c>
      <c r="E148" s="42">
        <v>0</v>
      </c>
      <c r="F148" s="41" t="s">
        <v>315</v>
      </c>
      <c r="G148" s="41" t="s">
        <v>423</v>
      </c>
      <c r="H148" s="42"/>
      <c r="I148" s="192">
        <f t="shared" si="7"/>
        <v>119.4</v>
      </c>
      <c r="J148" s="192">
        <f t="shared" si="7"/>
        <v>22.9</v>
      </c>
    </row>
    <row r="149" spans="1:10" ht="15.75">
      <c r="A149" s="46" t="s">
        <v>353</v>
      </c>
      <c r="B149" s="41" t="s">
        <v>12</v>
      </c>
      <c r="C149" s="41" t="s">
        <v>36</v>
      </c>
      <c r="D149" s="41" t="s">
        <v>13</v>
      </c>
      <c r="E149" s="42">
        <v>4</v>
      </c>
      <c r="F149" s="41" t="s">
        <v>315</v>
      </c>
      <c r="G149" s="41" t="s">
        <v>423</v>
      </c>
      <c r="H149" s="42"/>
      <c r="I149" s="192">
        <f t="shared" si="7"/>
        <v>119.4</v>
      </c>
      <c r="J149" s="192">
        <f t="shared" si="7"/>
        <v>22.9</v>
      </c>
    </row>
    <row r="150" spans="1:10" ht="15.75">
      <c r="A150" s="46" t="s">
        <v>353</v>
      </c>
      <c r="B150" s="41" t="s">
        <v>12</v>
      </c>
      <c r="C150" s="41" t="s">
        <v>36</v>
      </c>
      <c r="D150" s="41" t="s">
        <v>13</v>
      </c>
      <c r="E150" s="42">
        <v>4</v>
      </c>
      <c r="F150" s="41" t="s">
        <v>315</v>
      </c>
      <c r="G150" s="41" t="s">
        <v>354</v>
      </c>
      <c r="H150" s="42"/>
      <c r="I150" s="192">
        <f t="shared" si="7"/>
        <v>119.4</v>
      </c>
      <c r="J150" s="192">
        <f t="shared" si="7"/>
        <v>22.9</v>
      </c>
    </row>
    <row r="151" spans="1:10" ht="31.5">
      <c r="A151" s="46" t="s">
        <v>137</v>
      </c>
      <c r="B151" s="41" t="s">
        <v>12</v>
      </c>
      <c r="C151" s="41" t="s">
        <v>36</v>
      </c>
      <c r="D151" s="41" t="s">
        <v>13</v>
      </c>
      <c r="E151" s="42">
        <v>4</v>
      </c>
      <c r="F151" s="41" t="s">
        <v>315</v>
      </c>
      <c r="G151" s="41" t="s">
        <v>354</v>
      </c>
      <c r="H151" s="42">
        <v>240</v>
      </c>
      <c r="I151" s="192">
        <f>'Приложение 6'!J136</f>
        <v>119.4</v>
      </c>
      <c r="J151" s="192">
        <f>'Приложение 6'!K136</f>
        <v>22.9</v>
      </c>
    </row>
    <row r="152" spans="1:10" ht="31.5">
      <c r="A152" s="46" t="s">
        <v>436</v>
      </c>
      <c r="B152" s="41" t="s">
        <v>12</v>
      </c>
      <c r="C152" s="41" t="s">
        <v>437</v>
      </c>
      <c r="D152" s="41"/>
      <c r="E152" s="42"/>
      <c r="F152" s="41"/>
      <c r="G152" s="41"/>
      <c r="H152" s="42"/>
      <c r="I152" s="192">
        <f t="shared" ref="I152:J154" si="8">I153</f>
        <v>5</v>
      </c>
      <c r="J152" s="192">
        <f t="shared" si="8"/>
        <v>0</v>
      </c>
    </row>
    <row r="153" spans="1:10" ht="63">
      <c r="A153" s="46" t="s">
        <v>438</v>
      </c>
      <c r="B153" s="41" t="s">
        <v>12</v>
      </c>
      <c r="C153" s="41" t="s">
        <v>437</v>
      </c>
      <c r="D153" s="41" t="s">
        <v>43</v>
      </c>
      <c r="E153" s="42">
        <v>0</v>
      </c>
      <c r="F153" s="41" t="s">
        <v>315</v>
      </c>
      <c r="G153" s="41" t="s">
        <v>423</v>
      </c>
      <c r="H153" s="42"/>
      <c r="I153" s="192">
        <f t="shared" si="8"/>
        <v>5</v>
      </c>
      <c r="J153" s="192">
        <f t="shared" si="8"/>
        <v>0</v>
      </c>
    </row>
    <row r="154" spans="1:10" ht="31.5">
      <c r="A154" s="46" t="s">
        <v>439</v>
      </c>
      <c r="B154" s="41" t="s">
        <v>12</v>
      </c>
      <c r="C154" s="41" t="s">
        <v>437</v>
      </c>
      <c r="D154" s="41" t="s">
        <v>43</v>
      </c>
      <c r="E154" s="42">
        <v>0</v>
      </c>
      <c r="F154" s="41" t="s">
        <v>315</v>
      </c>
      <c r="G154" s="41" t="s">
        <v>440</v>
      </c>
      <c r="H154" s="42"/>
      <c r="I154" s="192">
        <f t="shared" si="8"/>
        <v>5</v>
      </c>
      <c r="J154" s="192">
        <f t="shared" si="8"/>
        <v>0</v>
      </c>
    </row>
    <row r="155" spans="1:10" ht="31.5">
      <c r="A155" s="46" t="s">
        <v>137</v>
      </c>
      <c r="B155" s="41" t="s">
        <v>12</v>
      </c>
      <c r="C155" s="41" t="s">
        <v>437</v>
      </c>
      <c r="D155" s="41" t="s">
        <v>43</v>
      </c>
      <c r="E155" s="42">
        <v>0</v>
      </c>
      <c r="F155" s="41" t="s">
        <v>315</v>
      </c>
      <c r="G155" s="41" t="s">
        <v>440</v>
      </c>
      <c r="H155" s="42">
        <v>240</v>
      </c>
      <c r="I155" s="192">
        <f>'Приложение 6'!J140</f>
        <v>5</v>
      </c>
      <c r="J155" s="192">
        <f>'Приложение 6'!K140</f>
        <v>0</v>
      </c>
    </row>
    <row r="156" spans="1:10" s="7" customFormat="1" ht="15.75">
      <c r="A156" s="213" t="s">
        <v>276</v>
      </c>
      <c r="B156" s="214" t="s">
        <v>15</v>
      </c>
      <c r="C156" s="215" t="s">
        <v>9</v>
      </c>
      <c r="D156" s="214"/>
      <c r="E156" s="215"/>
      <c r="F156" s="214"/>
      <c r="G156" s="214"/>
      <c r="H156" s="215"/>
      <c r="I156" s="212">
        <f>I157+I172+I177</f>
        <v>14121.000000000002</v>
      </c>
      <c r="J156" s="212">
        <f>J157+J172+J177</f>
        <v>12962.5</v>
      </c>
    </row>
    <row r="157" spans="1:10" ht="15.75">
      <c r="A157" s="40" t="s">
        <v>41</v>
      </c>
      <c r="B157" s="41" t="s">
        <v>15</v>
      </c>
      <c r="C157" s="41" t="s">
        <v>25</v>
      </c>
      <c r="D157" s="41"/>
      <c r="E157" s="42"/>
      <c r="F157" s="41"/>
      <c r="G157" s="41"/>
      <c r="H157" s="42"/>
      <c r="I157" s="192">
        <f>I158</f>
        <v>14036.900000000001</v>
      </c>
      <c r="J157" s="192">
        <f>J158</f>
        <v>12878.4</v>
      </c>
    </row>
    <row r="158" spans="1:10" ht="47.25">
      <c r="A158" s="40" t="s">
        <v>441</v>
      </c>
      <c r="B158" s="41" t="s">
        <v>15</v>
      </c>
      <c r="C158" s="41" t="s">
        <v>25</v>
      </c>
      <c r="D158" s="41" t="s">
        <v>12</v>
      </c>
      <c r="E158" s="42">
        <v>0</v>
      </c>
      <c r="F158" s="41" t="s">
        <v>315</v>
      </c>
      <c r="G158" s="41" t="s">
        <v>423</v>
      </c>
      <c r="H158" s="42"/>
      <c r="I158" s="192">
        <f>I159</f>
        <v>14036.900000000001</v>
      </c>
      <c r="J158" s="192">
        <f>J159</f>
        <v>12878.4</v>
      </c>
    </row>
    <row r="159" spans="1:10" ht="63">
      <c r="A159" s="46" t="s">
        <v>452</v>
      </c>
      <c r="B159" s="41" t="s">
        <v>15</v>
      </c>
      <c r="C159" s="41" t="s">
        <v>25</v>
      </c>
      <c r="D159" s="41" t="s">
        <v>12</v>
      </c>
      <c r="E159" s="42">
        <v>1</v>
      </c>
      <c r="F159" s="41" t="s">
        <v>315</v>
      </c>
      <c r="G159" s="41" t="s">
        <v>423</v>
      </c>
      <c r="H159" s="42"/>
      <c r="I159" s="192">
        <f>I160+I162+I164+I166+I170+I168</f>
        <v>14036.900000000001</v>
      </c>
      <c r="J159" s="192">
        <f>J160+J162+J164+J166+J170+J168</f>
        <v>12878.4</v>
      </c>
    </row>
    <row r="160" spans="1:10" ht="15.75">
      <c r="A160" s="46" t="s">
        <v>62</v>
      </c>
      <c r="B160" s="41" t="s">
        <v>15</v>
      </c>
      <c r="C160" s="41" t="s">
        <v>25</v>
      </c>
      <c r="D160" s="41" t="s">
        <v>12</v>
      </c>
      <c r="E160" s="42">
        <v>1</v>
      </c>
      <c r="F160" s="41" t="s">
        <v>315</v>
      </c>
      <c r="G160" s="41" t="s">
        <v>357</v>
      </c>
      <c r="H160" s="42"/>
      <c r="I160" s="192">
        <f>I161</f>
        <v>4923.6000000000013</v>
      </c>
      <c r="J160" s="192">
        <f>J161</f>
        <v>4601.2</v>
      </c>
    </row>
    <row r="161" spans="1:10" ht="31.5">
      <c r="A161" s="46" t="s">
        <v>137</v>
      </c>
      <c r="B161" s="41" t="s">
        <v>15</v>
      </c>
      <c r="C161" s="41" t="s">
        <v>25</v>
      </c>
      <c r="D161" s="41" t="s">
        <v>12</v>
      </c>
      <c r="E161" s="42">
        <v>1</v>
      </c>
      <c r="F161" s="41" t="s">
        <v>315</v>
      </c>
      <c r="G161" s="41" t="s">
        <v>357</v>
      </c>
      <c r="H161" s="42">
        <v>240</v>
      </c>
      <c r="I161" s="192">
        <f>'Приложение 6'!J146</f>
        <v>4923.6000000000013</v>
      </c>
      <c r="J161" s="192">
        <f>'Приложение 6'!K146</f>
        <v>4601.2</v>
      </c>
    </row>
    <row r="162" spans="1:10" ht="15.75">
      <c r="A162" s="46" t="s">
        <v>63</v>
      </c>
      <c r="B162" s="41" t="s">
        <v>15</v>
      </c>
      <c r="C162" s="41" t="s">
        <v>25</v>
      </c>
      <c r="D162" s="41" t="s">
        <v>12</v>
      </c>
      <c r="E162" s="42">
        <v>1</v>
      </c>
      <c r="F162" s="41" t="s">
        <v>315</v>
      </c>
      <c r="G162" s="41" t="s">
        <v>358</v>
      </c>
      <c r="H162" s="42"/>
      <c r="I162" s="192">
        <f>I163</f>
        <v>633.20000000000005</v>
      </c>
      <c r="J162" s="192">
        <f>J163</f>
        <v>633.20000000000005</v>
      </c>
    </row>
    <row r="163" spans="1:10" ht="31.5">
      <c r="A163" s="46" t="s">
        <v>137</v>
      </c>
      <c r="B163" s="41" t="s">
        <v>15</v>
      </c>
      <c r="C163" s="41" t="s">
        <v>25</v>
      </c>
      <c r="D163" s="41" t="s">
        <v>12</v>
      </c>
      <c r="E163" s="42">
        <v>1</v>
      </c>
      <c r="F163" s="41" t="s">
        <v>315</v>
      </c>
      <c r="G163" s="41" t="s">
        <v>358</v>
      </c>
      <c r="H163" s="42">
        <v>240</v>
      </c>
      <c r="I163" s="192">
        <f>'Приложение 6'!J148</f>
        <v>633.20000000000005</v>
      </c>
      <c r="J163" s="192">
        <f>'Приложение 6'!K148</f>
        <v>633.20000000000005</v>
      </c>
    </row>
    <row r="164" spans="1:10" ht="15.75">
      <c r="A164" s="46" t="s">
        <v>64</v>
      </c>
      <c r="B164" s="41" t="s">
        <v>15</v>
      </c>
      <c r="C164" s="41" t="s">
        <v>25</v>
      </c>
      <c r="D164" s="41" t="s">
        <v>12</v>
      </c>
      <c r="E164" s="42">
        <v>1</v>
      </c>
      <c r="F164" s="41" t="s">
        <v>315</v>
      </c>
      <c r="G164" s="41" t="s">
        <v>359</v>
      </c>
      <c r="H164" s="42"/>
      <c r="I164" s="192">
        <f>I165</f>
        <v>388.79999999999995</v>
      </c>
      <c r="J164" s="192">
        <f>J165</f>
        <v>388.8</v>
      </c>
    </row>
    <row r="165" spans="1:10" ht="31.5">
      <c r="A165" s="46" t="s">
        <v>137</v>
      </c>
      <c r="B165" s="41" t="s">
        <v>15</v>
      </c>
      <c r="C165" s="41" t="s">
        <v>25</v>
      </c>
      <c r="D165" s="41" t="s">
        <v>12</v>
      </c>
      <c r="E165" s="42">
        <v>1</v>
      </c>
      <c r="F165" s="41" t="s">
        <v>315</v>
      </c>
      <c r="G165" s="41" t="s">
        <v>359</v>
      </c>
      <c r="H165" s="42">
        <v>240</v>
      </c>
      <c r="I165" s="192">
        <f>'Приложение 6'!J150</f>
        <v>388.79999999999995</v>
      </c>
      <c r="J165" s="192">
        <f>'Приложение 6'!K150</f>
        <v>388.8</v>
      </c>
    </row>
    <row r="166" spans="1:10" ht="47.25">
      <c r="A166" s="46" t="s">
        <v>103</v>
      </c>
      <c r="B166" s="41" t="s">
        <v>15</v>
      </c>
      <c r="C166" s="41" t="s">
        <v>25</v>
      </c>
      <c r="D166" s="41" t="s">
        <v>12</v>
      </c>
      <c r="E166" s="42">
        <v>1</v>
      </c>
      <c r="F166" s="41" t="s">
        <v>315</v>
      </c>
      <c r="G166" s="41" t="s">
        <v>360</v>
      </c>
      <c r="H166" s="42"/>
      <c r="I166" s="192">
        <f>I167</f>
        <v>9</v>
      </c>
      <c r="J166" s="192">
        <f>J167</f>
        <v>9</v>
      </c>
    </row>
    <row r="167" spans="1:10" ht="31.5">
      <c r="A167" s="46" t="s">
        <v>137</v>
      </c>
      <c r="B167" s="41" t="s">
        <v>15</v>
      </c>
      <c r="C167" s="41" t="s">
        <v>25</v>
      </c>
      <c r="D167" s="41" t="s">
        <v>12</v>
      </c>
      <c r="E167" s="42">
        <v>1</v>
      </c>
      <c r="F167" s="41" t="s">
        <v>315</v>
      </c>
      <c r="G167" s="41" t="s">
        <v>360</v>
      </c>
      <c r="H167" s="42">
        <v>240</v>
      </c>
      <c r="I167" s="192">
        <f>'Приложение 6'!J152</f>
        <v>9</v>
      </c>
      <c r="J167" s="192">
        <f>'Приложение 6'!K152</f>
        <v>9</v>
      </c>
    </row>
    <row r="168" spans="1:10" ht="15.75">
      <c r="A168" s="46" t="s">
        <v>136</v>
      </c>
      <c r="B168" s="41" t="s">
        <v>15</v>
      </c>
      <c r="C168" s="41" t="s">
        <v>25</v>
      </c>
      <c r="D168" s="41" t="s">
        <v>12</v>
      </c>
      <c r="E168" s="42">
        <v>1</v>
      </c>
      <c r="F168" s="41" t="s">
        <v>315</v>
      </c>
      <c r="G168" s="41" t="s">
        <v>361</v>
      </c>
      <c r="H168" s="42"/>
      <c r="I168" s="192">
        <f>I169</f>
        <v>6600</v>
      </c>
      <c r="J168" s="192">
        <f>J169</f>
        <v>5763.9</v>
      </c>
    </row>
    <row r="169" spans="1:10" ht="31.5">
      <c r="A169" s="46" t="s">
        <v>137</v>
      </c>
      <c r="B169" s="41" t="s">
        <v>15</v>
      </c>
      <c r="C169" s="41" t="s">
        <v>25</v>
      </c>
      <c r="D169" s="41" t="s">
        <v>12</v>
      </c>
      <c r="E169" s="42">
        <v>1</v>
      </c>
      <c r="F169" s="41" t="s">
        <v>315</v>
      </c>
      <c r="G169" s="41" t="s">
        <v>361</v>
      </c>
      <c r="H169" s="42">
        <v>240</v>
      </c>
      <c r="I169" s="192">
        <f>'Приложение 6'!J154</f>
        <v>6600</v>
      </c>
      <c r="J169" s="192">
        <f>'Приложение 6'!K154</f>
        <v>5763.9</v>
      </c>
    </row>
    <row r="170" spans="1:10" ht="31.5">
      <c r="A170" s="46" t="s">
        <v>93</v>
      </c>
      <c r="B170" s="41" t="s">
        <v>15</v>
      </c>
      <c r="C170" s="41" t="s">
        <v>25</v>
      </c>
      <c r="D170" s="41" t="s">
        <v>12</v>
      </c>
      <c r="E170" s="42">
        <v>1</v>
      </c>
      <c r="F170" s="41" t="s">
        <v>315</v>
      </c>
      <c r="G170" s="41" t="s">
        <v>362</v>
      </c>
      <c r="H170" s="42"/>
      <c r="I170" s="192">
        <f>I171</f>
        <v>1482.3000000000002</v>
      </c>
      <c r="J170" s="192">
        <f>J171</f>
        <v>1482.3</v>
      </c>
    </row>
    <row r="171" spans="1:10" ht="31.5">
      <c r="A171" s="46" t="s">
        <v>137</v>
      </c>
      <c r="B171" s="41" t="s">
        <v>15</v>
      </c>
      <c r="C171" s="41" t="s">
        <v>25</v>
      </c>
      <c r="D171" s="41" t="s">
        <v>12</v>
      </c>
      <c r="E171" s="42">
        <v>1</v>
      </c>
      <c r="F171" s="41" t="s">
        <v>315</v>
      </c>
      <c r="G171" s="41" t="s">
        <v>362</v>
      </c>
      <c r="H171" s="42">
        <v>240</v>
      </c>
      <c r="I171" s="192">
        <f>'Приложение 6'!J156</f>
        <v>1482.3000000000002</v>
      </c>
      <c r="J171" s="192">
        <f>'Приложение 6'!K156</f>
        <v>1482.3</v>
      </c>
    </row>
    <row r="172" spans="1:10" ht="15.75">
      <c r="A172" s="46" t="s">
        <v>528</v>
      </c>
      <c r="B172" s="41" t="s">
        <v>15</v>
      </c>
      <c r="C172" s="41" t="s">
        <v>36</v>
      </c>
      <c r="D172" s="41"/>
      <c r="E172" s="41"/>
      <c r="F172" s="41"/>
      <c r="G172" s="41"/>
      <c r="H172" s="42" t="s">
        <v>8</v>
      </c>
      <c r="I172" s="192">
        <f t="shared" ref="I172:J175" si="9">I173</f>
        <v>47.1</v>
      </c>
      <c r="J172" s="192">
        <f t="shared" si="9"/>
        <v>47.1</v>
      </c>
    </row>
    <row r="173" spans="1:10" ht="15.75">
      <c r="A173" s="46" t="s">
        <v>58</v>
      </c>
      <c r="B173" s="41" t="s">
        <v>15</v>
      </c>
      <c r="C173" s="41" t="s">
        <v>36</v>
      </c>
      <c r="D173" s="41" t="s">
        <v>45</v>
      </c>
      <c r="E173" s="42">
        <v>0</v>
      </c>
      <c r="F173" s="41" t="s">
        <v>315</v>
      </c>
      <c r="G173" s="41" t="s">
        <v>423</v>
      </c>
      <c r="H173" s="42"/>
      <c r="I173" s="192">
        <f t="shared" si="9"/>
        <v>47.1</v>
      </c>
      <c r="J173" s="192">
        <f t="shared" si="9"/>
        <v>47.1</v>
      </c>
    </row>
    <row r="174" spans="1:10" ht="15.75">
      <c r="A174" s="46" t="s">
        <v>59</v>
      </c>
      <c r="B174" s="41" t="s">
        <v>15</v>
      </c>
      <c r="C174" s="41" t="s">
        <v>36</v>
      </c>
      <c r="D174" s="41" t="s">
        <v>45</v>
      </c>
      <c r="E174" s="42">
        <v>9</v>
      </c>
      <c r="F174" s="41" t="s">
        <v>315</v>
      </c>
      <c r="G174" s="41" t="s">
        <v>423</v>
      </c>
      <c r="H174" s="42"/>
      <c r="I174" s="192">
        <f t="shared" si="9"/>
        <v>47.1</v>
      </c>
      <c r="J174" s="192">
        <f t="shared" si="9"/>
        <v>47.1</v>
      </c>
    </row>
    <row r="175" spans="1:10" ht="47.25">
      <c r="A175" s="46" t="s">
        <v>529</v>
      </c>
      <c r="B175" s="41" t="s">
        <v>15</v>
      </c>
      <c r="C175" s="41" t="s">
        <v>36</v>
      </c>
      <c r="D175" s="41" t="s">
        <v>45</v>
      </c>
      <c r="E175" s="42">
        <v>9</v>
      </c>
      <c r="F175" s="41" t="s">
        <v>315</v>
      </c>
      <c r="G175" s="41" t="s">
        <v>530</v>
      </c>
      <c r="H175" s="42"/>
      <c r="I175" s="192">
        <f t="shared" si="9"/>
        <v>47.1</v>
      </c>
      <c r="J175" s="192">
        <f t="shared" si="9"/>
        <v>47.1</v>
      </c>
    </row>
    <row r="176" spans="1:10" ht="31.5">
      <c r="A176" s="46" t="s">
        <v>137</v>
      </c>
      <c r="B176" s="41" t="s">
        <v>15</v>
      </c>
      <c r="C176" s="41" t="s">
        <v>36</v>
      </c>
      <c r="D176" s="41" t="s">
        <v>45</v>
      </c>
      <c r="E176" s="42">
        <v>9</v>
      </c>
      <c r="F176" s="41" t="s">
        <v>315</v>
      </c>
      <c r="G176" s="41" t="s">
        <v>530</v>
      </c>
      <c r="H176" s="42">
        <v>240</v>
      </c>
      <c r="I176" s="192">
        <f>'Приложение 6'!J161</f>
        <v>47.1</v>
      </c>
      <c r="J176" s="192">
        <f>'Приложение 6'!K161</f>
        <v>47.1</v>
      </c>
    </row>
    <row r="177" spans="1:10" ht="15.75">
      <c r="A177" s="40" t="s">
        <v>42</v>
      </c>
      <c r="B177" s="41" t="s">
        <v>15</v>
      </c>
      <c r="C177" s="41" t="s">
        <v>43</v>
      </c>
      <c r="D177" s="41"/>
      <c r="E177" s="41"/>
      <c r="F177" s="41"/>
      <c r="G177" s="41"/>
      <c r="H177" s="42" t="s">
        <v>8</v>
      </c>
      <c r="I177" s="201">
        <f t="shared" ref="I177:J179" si="10">I178</f>
        <v>37</v>
      </c>
      <c r="J177" s="201">
        <f t="shared" si="10"/>
        <v>37</v>
      </c>
    </row>
    <row r="178" spans="1:10" ht="63">
      <c r="A178" s="46" t="s">
        <v>443</v>
      </c>
      <c r="B178" s="41" t="s">
        <v>15</v>
      </c>
      <c r="C178" s="41" t="s">
        <v>43</v>
      </c>
      <c r="D178" s="41" t="s">
        <v>15</v>
      </c>
      <c r="E178" s="42">
        <v>0</v>
      </c>
      <c r="F178" s="41" t="s">
        <v>315</v>
      </c>
      <c r="G178" s="41" t="s">
        <v>423</v>
      </c>
      <c r="H178" s="42"/>
      <c r="I178" s="192">
        <f t="shared" si="10"/>
        <v>37</v>
      </c>
      <c r="J178" s="192">
        <f t="shared" si="10"/>
        <v>37</v>
      </c>
    </row>
    <row r="179" spans="1:10" ht="15.75">
      <c r="A179" s="46" t="s">
        <v>114</v>
      </c>
      <c r="B179" s="41" t="s">
        <v>15</v>
      </c>
      <c r="C179" s="41" t="s">
        <v>43</v>
      </c>
      <c r="D179" s="41" t="s">
        <v>15</v>
      </c>
      <c r="E179" s="42">
        <v>0</v>
      </c>
      <c r="F179" s="41" t="s">
        <v>315</v>
      </c>
      <c r="G179" s="41" t="s">
        <v>363</v>
      </c>
      <c r="H179" s="42"/>
      <c r="I179" s="192">
        <f t="shared" si="10"/>
        <v>37</v>
      </c>
      <c r="J179" s="192">
        <f t="shared" si="10"/>
        <v>37</v>
      </c>
    </row>
    <row r="180" spans="1:10" ht="47.25">
      <c r="A180" s="46" t="s">
        <v>531</v>
      </c>
      <c r="B180" s="41" t="s">
        <v>15</v>
      </c>
      <c r="C180" s="41" t="s">
        <v>43</v>
      </c>
      <c r="D180" s="41" t="s">
        <v>15</v>
      </c>
      <c r="E180" s="42">
        <v>0</v>
      </c>
      <c r="F180" s="41" t="s">
        <v>315</v>
      </c>
      <c r="G180" s="41" t="s">
        <v>363</v>
      </c>
      <c r="H180" s="42">
        <v>810</v>
      </c>
      <c r="I180" s="192">
        <f>'Приложение 6'!J165</f>
        <v>37</v>
      </c>
      <c r="J180" s="192">
        <f>'Приложение 6'!K165</f>
        <v>37</v>
      </c>
    </row>
    <row r="181" spans="1:10" s="7" customFormat="1" ht="15.75">
      <c r="A181" s="213" t="s">
        <v>532</v>
      </c>
      <c r="B181" s="214" t="s">
        <v>16</v>
      </c>
      <c r="C181" s="215" t="s">
        <v>9</v>
      </c>
      <c r="D181" s="214"/>
      <c r="E181" s="215"/>
      <c r="F181" s="214"/>
      <c r="G181" s="214"/>
      <c r="H181" s="215"/>
      <c r="I181" s="212">
        <f>I182+I194+I199+I234</f>
        <v>73424.100000000006</v>
      </c>
      <c r="J181" s="212">
        <f>J182+J194+J199+J234</f>
        <v>47813.8</v>
      </c>
    </row>
    <row r="182" spans="1:10" ht="15.75">
      <c r="A182" s="40" t="s">
        <v>17</v>
      </c>
      <c r="B182" s="41" t="s">
        <v>16</v>
      </c>
      <c r="C182" s="42" t="s">
        <v>11</v>
      </c>
      <c r="D182" s="41" t="s">
        <v>315</v>
      </c>
      <c r="E182" s="42">
        <v>0</v>
      </c>
      <c r="F182" s="41" t="s">
        <v>315</v>
      </c>
      <c r="G182" s="41" t="s">
        <v>423</v>
      </c>
      <c r="H182" s="42"/>
      <c r="I182" s="192">
        <f>I183+I190</f>
        <v>14430.300000000001</v>
      </c>
      <c r="J182" s="192">
        <f>J183+J190</f>
        <v>1274.2</v>
      </c>
    </row>
    <row r="183" spans="1:10" ht="63">
      <c r="A183" s="46" t="s">
        <v>445</v>
      </c>
      <c r="B183" s="41" t="s">
        <v>16</v>
      </c>
      <c r="C183" s="41" t="s">
        <v>11</v>
      </c>
      <c r="D183" s="41" t="s">
        <v>16</v>
      </c>
      <c r="E183" s="42">
        <v>0</v>
      </c>
      <c r="F183" s="41" t="s">
        <v>315</v>
      </c>
      <c r="G183" s="41" t="s">
        <v>423</v>
      </c>
      <c r="H183" s="42"/>
      <c r="I183" s="192">
        <f>I184+I187</f>
        <v>13061.900000000001</v>
      </c>
      <c r="J183" s="192">
        <f>J184+J187</f>
        <v>74.8</v>
      </c>
    </row>
    <row r="184" spans="1:10" ht="31.5">
      <c r="A184" s="46" t="s">
        <v>65</v>
      </c>
      <c r="B184" s="41" t="s">
        <v>16</v>
      </c>
      <c r="C184" s="41" t="s">
        <v>11</v>
      </c>
      <c r="D184" s="41" t="s">
        <v>16</v>
      </c>
      <c r="E184" s="42">
        <v>1</v>
      </c>
      <c r="F184" s="41" t="s">
        <v>315</v>
      </c>
      <c r="G184" s="41" t="s">
        <v>423</v>
      </c>
      <c r="H184" s="42"/>
      <c r="I184" s="192">
        <f>I185</f>
        <v>142</v>
      </c>
      <c r="J184" s="192">
        <f>J185</f>
        <v>74.8</v>
      </c>
    </row>
    <row r="185" spans="1:10" ht="15.75">
      <c r="A185" s="46" t="s">
        <v>139</v>
      </c>
      <c r="B185" s="41" t="s">
        <v>16</v>
      </c>
      <c r="C185" s="41" t="s">
        <v>11</v>
      </c>
      <c r="D185" s="41" t="s">
        <v>16</v>
      </c>
      <c r="E185" s="42">
        <v>1</v>
      </c>
      <c r="F185" s="41" t="s">
        <v>315</v>
      </c>
      <c r="G185" s="41" t="s">
        <v>364</v>
      </c>
      <c r="H185" s="42"/>
      <c r="I185" s="192">
        <f>I186</f>
        <v>142</v>
      </c>
      <c r="J185" s="192">
        <f>J186</f>
        <v>74.8</v>
      </c>
    </row>
    <row r="186" spans="1:10" ht="31.5">
      <c r="A186" s="46" t="s">
        <v>137</v>
      </c>
      <c r="B186" s="41" t="s">
        <v>16</v>
      </c>
      <c r="C186" s="41" t="s">
        <v>11</v>
      </c>
      <c r="D186" s="41" t="s">
        <v>16</v>
      </c>
      <c r="E186" s="42">
        <v>1</v>
      </c>
      <c r="F186" s="41" t="s">
        <v>315</v>
      </c>
      <c r="G186" s="41" t="s">
        <v>364</v>
      </c>
      <c r="H186" s="42">
        <v>240</v>
      </c>
      <c r="I186" s="192">
        <f>'Приложение 6'!J171</f>
        <v>142</v>
      </c>
      <c r="J186" s="192">
        <f>'Приложение 6'!K171</f>
        <v>74.8</v>
      </c>
    </row>
    <row r="187" spans="1:10" ht="47.25">
      <c r="A187" s="46" t="s">
        <v>365</v>
      </c>
      <c r="B187" s="41" t="s">
        <v>16</v>
      </c>
      <c r="C187" s="41" t="s">
        <v>11</v>
      </c>
      <c r="D187" s="41" t="s">
        <v>16</v>
      </c>
      <c r="E187" s="42">
        <v>6</v>
      </c>
      <c r="F187" s="41" t="s">
        <v>315</v>
      </c>
      <c r="G187" s="41" t="s">
        <v>423</v>
      </c>
      <c r="H187" s="42"/>
      <c r="I187" s="192">
        <f>I188</f>
        <v>12919.900000000001</v>
      </c>
      <c r="J187" s="192">
        <f>J188</f>
        <v>0</v>
      </c>
    </row>
    <row r="188" spans="1:10" ht="15.75">
      <c r="A188" s="46" t="s">
        <v>134</v>
      </c>
      <c r="B188" s="41" t="s">
        <v>16</v>
      </c>
      <c r="C188" s="41" t="s">
        <v>11</v>
      </c>
      <c r="D188" s="41" t="s">
        <v>16</v>
      </c>
      <c r="E188" s="42">
        <v>6</v>
      </c>
      <c r="F188" s="41" t="s">
        <v>315</v>
      </c>
      <c r="G188" s="41" t="s">
        <v>366</v>
      </c>
      <c r="H188" s="42"/>
      <c r="I188" s="192">
        <f>I189</f>
        <v>12919.900000000001</v>
      </c>
      <c r="J188" s="192">
        <f>J189</f>
        <v>0</v>
      </c>
    </row>
    <row r="189" spans="1:10" ht="15.75">
      <c r="A189" s="46" t="s">
        <v>446</v>
      </c>
      <c r="B189" s="41" t="s">
        <v>16</v>
      </c>
      <c r="C189" s="41" t="s">
        <v>11</v>
      </c>
      <c r="D189" s="41" t="s">
        <v>16</v>
      </c>
      <c r="E189" s="42">
        <v>6</v>
      </c>
      <c r="F189" s="41" t="s">
        <v>315</v>
      </c>
      <c r="G189" s="41" t="s">
        <v>366</v>
      </c>
      <c r="H189" s="42">
        <v>410</v>
      </c>
      <c r="I189" s="192">
        <f>'Приложение 6'!J174</f>
        <v>12919.900000000001</v>
      </c>
      <c r="J189" s="192">
        <f>'Приложение 6'!K174</f>
        <v>0</v>
      </c>
    </row>
    <row r="190" spans="1:10" ht="15.75">
      <c r="A190" s="46" t="s">
        <v>58</v>
      </c>
      <c r="B190" s="41" t="s">
        <v>16</v>
      </c>
      <c r="C190" s="42" t="s">
        <v>11</v>
      </c>
      <c r="D190" s="41" t="s">
        <v>45</v>
      </c>
      <c r="E190" s="42">
        <v>0</v>
      </c>
      <c r="F190" s="41" t="s">
        <v>315</v>
      </c>
      <c r="G190" s="41" t="s">
        <v>423</v>
      </c>
      <c r="H190" s="42"/>
      <c r="I190" s="192">
        <f t="shared" ref="I190:J192" si="11">I191</f>
        <v>1368.4</v>
      </c>
      <c r="J190" s="192">
        <f t="shared" si="11"/>
        <v>1199.4000000000001</v>
      </c>
    </row>
    <row r="191" spans="1:10" ht="15.75">
      <c r="A191" s="46" t="s">
        <v>59</v>
      </c>
      <c r="B191" s="41" t="s">
        <v>16</v>
      </c>
      <c r="C191" s="42" t="s">
        <v>11</v>
      </c>
      <c r="D191" s="41" t="s">
        <v>45</v>
      </c>
      <c r="E191" s="42">
        <v>9</v>
      </c>
      <c r="F191" s="41" t="s">
        <v>315</v>
      </c>
      <c r="G191" s="41" t="s">
        <v>423</v>
      </c>
      <c r="H191" s="42"/>
      <c r="I191" s="192">
        <f t="shared" si="11"/>
        <v>1368.4</v>
      </c>
      <c r="J191" s="192">
        <f t="shared" si="11"/>
        <v>1199.4000000000001</v>
      </c>
    </row>
    <row r="192" spans="1:10" ht="47.25">
      <c r="A192" s="46" t="s">
        <v>112</v>
      </c>
      <c r="B192" s="41" t="s">
        <v>16</v>
      </c>
      <c r="C192" s="42" t="s">
        <v>11</v>
      </c>
      <c r="D192" s="41" t="s">
        <v>45</v>
      </c>
      <c r="E192" s="42">
        <v>9</v>
      </c>
      <c r="F192" s="41" t="s">
        <v>315</v>
      </c>
      <c r="G192" s="41" t="s">
        <v>367</v>
      </c>
      <c r="H192" s="42"/>
      <c r="I192" s="192">
        <f t="shared" si="11"/>
        <v>1368.4</v>
      </c>
      <c r="J192" s="192">
        <f t="shared" si="11"/>
        <v>1199.4000000000001</v>
      </c>
    </row>
    <row r="193" spans="1:10" ht="31.5">
      <c r="A193" s="46" t="s">
        <v>137</v>
      </c>
      <c r="B193" s="41" t="s">
        <v>16</v>
      </c>
      <c r="C193" s="42" t="s">
        <v>11</v>
      </c>
      <c r="D193" s="41" t="s">
        <v>45</v>
      </c>
      <c r="E193" s="42">
        <v>9</v>
      </c>
      <c r="F193" s="41" t="s">
        <v>315</v>
      </c>
      <c r="G193" s="41" t="s">
        <v>367</v>
      </c>
      <c r="H193" s="42">
        <v>240</v>
      </c>
      <c r="I193" s="192">
        <f>'Приложение 6'!J178</f>
        <v>1368.4</v>
      </c>
      <c r="J193" s="192">
        <f>'Приложение 6'!K178</f>
        <v>1199.4000000000001</v>
      </c>
    </row>
    <row r="194" spans="1:10" ht="15.75">
      <c r="A194" s="40" t="s">
        <v>35</v>
      </c>
      <c r="B194" s="41" t="s">
        <v>16</v>
      </c>
      <c r="C194" s="41" t="s">
        <v>13</v>
      </c>
      <c r="D194" s="41"/>
      <c r="E194" s="42"/>
      <c r="F194" s="41"/>
      <c r="G194" s="41"/>
      <c r="H194" s="204"/>
      <c r="I194" s="192">
        <f t="shared" ref="I194:J197" si="12">I195</f>
        <v>24.4</v>
      </c>
      <c r="J194" s="192">
        <f t="shared" si="12"/>
        <v>24.3</v>
      </c>
    </row>
    <row r="195" spans="1:10" ht="15.75">
      <c r="A195" s="46" t="s">
        <v>0</v>
      </c>
      <c r="B195" s="41" t="s">
        <v>16</v>
      </c>
      <c r="C195" s="41" t="s">
        <v>13</v>
      </c>
      <c r="D195" s="41" t="s">
        <v>534</v>
      </c>
      <c r="E195" s="42">
        <v>0</v>
      </c>
      <c r="F195" s="41" t="s">
        <v>315</v>
      </c>
      <c r="G195" s="41" t="s">
        <v>423</v>
      </c>
      <c r="H195" s="204"/>
      <c r="I195" s="192">
        <f t="shared" si="12"/>
        <v>24.4</v>
      </c>
      <c r="J195" s="192">
        <f t="shared" si="12"/>
        <v>24.3</v>
      </c>
    </row>
    <row r="196" spans="1:10" ht="15.75">
      <c r="A196" s="40" t="s">
        <v>1</v>
      </c>
      <c r="B196" s="41" t="s">
        <v>16</v>
      </c>
      <c r="C196" s="41" t="s">
        <v>13</v>
      </c>
      <c r="D196" s="41" t="s">
        <v>534</v>
      </c>
      <c r="E196" s="42">
        <v>1</v>
      </c>
      <c r="F196" s="41" t="s">
        <v>315</v>
      </c>
      <c r="G196" s="41" t="s">
        <v>423</v>
      </c>
      <c r="H196" s="204"/>
      <c r="I196" s="192">
        <f t="shared" si="12"/>
        <v>24.4</v>
      </c>
      <c r="J196" s="192">
        <f t="shared" si="12"/>
        <v>24.3</v>
      </c>
    </row>
    <row r="197" spans="1:10" ht="15.75">
      <c r="A197" s="40" t="s">
        <v>1</v>
      </c>
      <c r="B197" s="41" t="s">
        <v>16</v>
      </c>
      <c r="C197" s="41" t="s">
        <v>13</v>
      </c>
      <c r="D197" s="41" t="s">
        <v>534</v>
      </c>
      <c r="E197" s="42">
        <v>1</v>
      </c>
      <c r="F197" s="41" t="s">
        <v>315</v>
      </c>
      <c r="G197" s="205">
        <v>28810</v>
      </c>
      <c r="H197" s="204"/>
      <c r="I197" s="192">
        <f t="shared" si="12"/>
        <v>24.4</v>
      </c>
      <c r="J197" s="192">
        <f t="shared" si="12"/>
        <v>24.3</v>
      </c>
    </row>
    <row r="198" spans="1:10" ht="31.5">
      <c r="A198" s="46" t="s">
        <v>137</v>
      </c>
      <c r="B198" s="41" t="s">
        <v>16</v>
      </c>
      <c r="C198" s="41" t="s">
        <v>13</v>
      </c>
      <c r="D198" s="41" t="s">
        <v>534</v>
      </c>
      <c r="E198" s="42">
        <v>1</v>
      </c>
      <c r="F198" s="41" t="s">
        <v>315</v>
      </c>
      <c r="G198" s="205">
        <v>28810</v>
      </c>
      <c r="H198" s="205">
        <v>240</v>
      </c>
      <c r="I198" s="192">
        <f>'Приложение 6'!J183</f>
        <v>24.4</v>
      </c>
      <c r="J198" s="192">
        <f>'Приложение 6'!K183</f>
        <v>24.3</v>
      </c>
    </row>
    <row r="199" spans="1:10" ht="15.75">
      <c r="A199" s="40" t="s">
        <v>3</v>
      </c>
      <c r="B199" s="41" t="s">
        <v>16</v>
      </c>
      <c r="C199" s="42" t="s">
        <v>12</v>
      </c>
      <c r="D199" s="41" t="s">
        <v>10</v>
      </c>
      <c r="E199" s="42"/>
      <c r="F199" s="41"/>
      <c r="G199" s="41"/>
      <c r="H199" s="42"/>
      <c r="I199" s="201">
        <f>I200+I229</f>
        <v>37466</v>
      </c>
      <c r="J199" s="201">
        <f>J200+J229</f>
        <v>29026.000000000004</v>
      </c>
    </row>
    <row r="200" spans="1:10" ht="47.25">
      <c r="A200" s="40" t="s">
        <v>441</v>
      </c>
      <c r="B200" s="41" t="s">
        <v>16</v>
      </c>
      <c r="C200" s="41" t="s">
        <v>12</v>
      </c>
      <c r="D200" s="41" t="s">
        <v>12</v>
      </c>
      <c r="E200" s="42">
        <v>0</v>
      </c>
      <c r="F200" s="41" t="s">
        <v>315</v>
      </c>
      <c r="G200" s="41" t="s">
        <v>423</v>
      </c>
      <c r="H200" s="42"/>
      <c r="I200" s="192">
        <f>I201+I208</f>
        <v>36138.1</v>
      </c>
      <c r="J200" s="192">
        <f>J201+J208</f>
        <v>27854.700000000004</v>
      </c>
    </row>
    <row r="201" spans="1:10" ht="31.5">
      <c r="A201" s="46" t="s">
        <v>67</v>
      </c>
      <c r="B201" s="41" t="s">
        <v>16</v>
      </c>
      <c r="C201" s="41" t="s">
        <v>12</v>
      </c>
      <c r="D201" s="41" t="s">
        <v>12</v>
      </c>
      <c r="E201" s="42">
        <v>2</v>
      </c>
      <c r="F201" s="41" t="s">
        <v>315</v>
      </c>
      <c r="G201" s="41" t="s">
        <v>423</v>
      </c>
      <c r="H201" s="42"/>
      <c r="I201" s="192">
        <f>I202+I204+I206</f>
        <v>11782.4</v>
      </c>
      <c r="J201" s="192">
        <f>J202+J204+J206</f>
        <v>7423.4</v>
      </c>
    </row>
    <row r="202" spans="1:10" ht="15.75">
      <c r="A202" s="46" t="s">
        <v>535</v>
      </c>
      <c r="B202" s="41" t="s">
        <v>16</v>
      </c>
      <c r="C202" s="41" t="s">
        <v>12</v>
      </c>
      <c r="D202" s="41" t="s">
        <v>12</v>
      </c>
      <c r="E202" s="42">
        <v>2</v>
      </c>
      <c r="F202" s="41" t="s">
        <v>315</v>
      </c>
      <c r="G202" s="41" t="s">
        <v>536</v>
      </c>
      <c r="H202" s="42"/>
      <c r="I202" s="192">
        <f>I203</f>
        <v>50</v>
      </c>
      <c r="J202" s="192">
        <f>J203</f>
        <v>45</v>
      </c>
    </row>
    <row r="203" spans="1:10" ht="31.5">
      <c r="A203" s="46" t="s">
        <v>137</v>
      </c>
      <c r="B203" s="41" t="s">
        <v>16</v>
      </c>
      <c r="C203" s="41" t="s">
        <v>12</v>
      </c>
      <c r="D203" s="41" t="s">
        <v>12</v>
      </c>
      <c r="E203" s="42">
        <v>2</v>
      </c>
      <c r="F203" s="41" t="s">
        <v>315</v>
      </c>
      <c r="G203" s="41" t="s">
        <v>536</v>
      </c>
      <c r="H203" s="42">
        <v>240</v>
      </c>
      <c r="I203" s="192">
        <f>'Приложение 6'!J188</f>
        <v>50</v>
      </c>
      <c r="J203" s="192">
        <f>'Приложение 6'!K188</f>
        <v>45</v>
      </c>
    </row>
    <row r="204" spans="1:10" ht="31.5">
      <c r="A204" s="46" t="s">
        <v>68</v>
      </c>
      <c r="B204" s="41" t="s">
        <v>16</v>
      </c>
      <c r="C204" s="41" t="s">
        <v>12</v>
      </c>
      <c r="D204" s="41" t="s">
        <v>12</v>
      </c>
      <c r="E204" s="42">
        <v>2</v>
      </c>
      <c r="F204" s="41" t="s">
        <v>315</v>
      </c>
      <c r="G204" s="41" t="s">
        <v>368</v>
      </c>
      <c r="H204" s="42"/>
      <c r="I204" s="192">
        <f>I205</f>
        <v>8632.4</v>
      </c>
      <c r="J204" s="192">
        <f>J205</f>
        <v>4278.3999999999996</v>
      </c>
    </row>
    <row r="205" spans="1:10" s="7" customFormat="1" ht="31.5">
      <c r="A205" s="46" t="s">
        <v>137</v>
      </c>
      <c r="B205" s="41" t="s">
        <v>16</v>
      </c>
      <c r="C205" s="41" t="s">
        <v>12</v>
      </c>
      <c r="D205" s="41" t="s">
        <v>12</v>
      </c>
      <c r="E205" s="42">
        <v>2</v>
      </c>
      <c r="F205" s="41" t="s">
        <v>315</v>
      </c>
      <c r="G205" s="41" t="s">
        <v>368</v>
      </c>
      <c r="H205" s="42">
        <v>240</v>
      </c>
      <c r="I205" s="192">
        <f>'Приложение 6'!J190</f>
        <v>8632.4</v>
      </c>
      <c r="J205" s="192">
        <f>'Приложение 6'!K190</f>
        <v>4278.3999999999996</v>
      </c>
    </row>
    <row r="206" spans="1:10" ht="31.5">
      <c r="A206" s="46" t="s">
        <v>71</v>
      </c>
      <c r="B206" s="41" t="s">
        <v>16</v>
      </c>
      <c r="C206" s="41" t="s">
        <v>12</v>
      </c>
      <c r="D206" s="41" t="s">
        <v>12</v>
      </c>
      <c r="E206" s="42">
        <v>2</v>
      </c>
      <c r="F206" s="41" t="s">
        <v>315</v>
      </c>
      <c r="G206" s="41" t="s">
        <v>369</v>
      </c>
      <c r="H206" s="42"/>
      <c r="I206" s="192">
        <f>I207</f>
        <v>3100</v>
      </c>
      <c r="J206" s="192">
        <f>J207</f>
        <v>3100</v>
      </c>
    </row>
    <row r="207" spans="1:10" ht="31.5">
      <c r="A207" s="46" t="s">
        <v>137</v>
      </c>
      <c r="B207" s="41" t="s">
        <v>16</v>
      </c>
      <c r="C207" s="41" t="s">
        <v>12</v>
      </c>
      <c r="D207" s="41" t="s">
        <v>12</v>
      </c>
      <c r="E207" s="42">
        <v>2</v>
      </c>
      <c r="F207" s="41" t="s">
        <v>315</v>
      </c>
      <c r="G207" s="41" t="s">
        <v>369</v>
      </c>
      <c r="H207" s="42">
        <v>240</v>
      </c>
      <c r="I207" s="192">
        <f>'Приложение 6'!J192</f>
        <v>3100</v>
      </c>
      <c r="J207" s="192">
        <f>'Приложение 6'!K192</f>
        <v>3100</v>
      </c>
    </row>
    <row r="208" spans="1:10" s="7" customFormat="1" ht="47.25">
      <c r="A208" s="46" t="s">
        <v>69</v>
      </c>
      <c r="B208" s="41" t="s">
        <v>16</v>
      </c>
      <c r="C208" s="41" t="s">
        <v>12</v>
      </c>
      <c r="D208" s="41" t="s">
        <v>12</v>
      </c>
      <c r="E208" s="42">
        <v>3</v>
      </c>
      <c r="F208" s="41" t="s">
        <v>315</v>
      </c>
      <c r="G208" s="41" t="s">
        <v>423</v>
      </c>
      <c r="H208" s="42"/>
      <c r="I208" s="192">
        <f>I209+I211+I213+I215+I217+I219+I221+I223+I225+I227</f>
        <v>24355.7</v>
      </c>
      <c r="J208" s="192">
        <f>J209+J211+J213+J215+J217+J219+J221+J223+J225+J227</f>
        <v>20431.300000000003</v>
      </c>
    </row>
    <row r="209" spans="1:10" s="7" customFormat="1" ht="15.75">
      <c r="A209" s="46" t="s">
        <v>64</v>
      </c>
      <c r="B209" s="41" t="s">
        <v>16</v>
      </c>
      <c r="C209" s="41" t="s">
        <v>12</v>
      </c>
      <c r="D209" s="41" t="s">
        <v>12</v>
      </c>
      <c r="E209" s="42">
        <v>3</v>
      </c>
      <c r="F209" s="41" t="s">
        <v>315</v>
      </c>
      <c r="G209" s="41" t="s">
        <v>359</v>
      </c>
      <c r="H209" s="42"/>
      <c r="I209" s="192">
        <f>I210</f>
        <v>569</v>
      </c>
      <c r="J209" s="192">
        <f>J210</f>
        <v>436.3</v>
      </c>
    </row>
    <row r="210" spans="1:10" s="7" customFormat="1" ht="31.5">
      <c r="A210" s="46" t="s">
        <v>137</v>
      </c>
      <c r="B210" s="41" t="s">
        <v>16</v>
      </c>
      <c r="C210" s="41" t="s">
        <v>12</v>
      </c>
      <c r="D210" s="41" t="s">
        <v>12</v>
      </c>
      <c r="E210" s="42">
        <v>3</v>
      </c>
      <c r="F210" s="41" t="s">
        <v>315</v>
      </c>
      <c r="G210" s="41" t="s">
        <v>359</v>
      </c>
      <c r="H210" s="42">
        <v>240</v>
      </c>
      <c r="I210" s="192">
        <f>'Приложение 6'!J195</f>
        <v>569</v>
      </c>
      <c r="J210" s="192">
        <f>'Приложение 6'!K195</f>
        <v>436.3</v>
      </c>
    </row>
    <row r="211" spans="1:10" s="7" customFormat="1" ht="15.75">
      <c r="A211" s="46" t="s">
        <v>70</v>
      </c>
      <c r="B211" s="41" t="s">
        <v>16</v>
      </c>
      <c r="C211" s="41" t="s">
        <v>12</v>
      </c>
      <c r="D211" s="41" t="s">
        <v>12</v>
      </c>
      <c r="E211" s="42">
        <v>3</v>
      </c>
      <c r="F211" s="41" t="s">
        <v>315</v>
      </c>
      <c r="G211" s="41" t="s">
        <v>370</v>
      </c>
      <c r="H211" s="42"/>
      <c r="I211" s="192">
        <f>I212</f>
        <v>779.1</v>
      </c>
      <c r="J211" s="192">
        <f>J212</f>
        <v>779</v>
      </c>
    </row>
    <row r="212" spans="1:10" ht="31.5">
      <c r="A212" s="46" t="s">
        <v>137</v>
      </c>
      <c r="B212" s="41" t="s">
        <v>16</v>
      </c>
      <c r="C212" s="41" t="s">
        <v>12</v>
      </c>
      <c r="D212" s="41" t="s">
        <v>12</v>
      </c>
      <c r="E212" s="42">
        <v>3</v>
      </c>
      <c r="F212" s="41" t="s">
        <v>315</v>
      </c>
      <c r="G212" s="41" t="s">
        <v>370</v>
      </c>
      <c r="H212" s="42">
        <v>240</v>
      </c>
      <c r="I212" s="192">
        <f>'Приложение 6'!J197</f>
        <v>779.1</v>
      </c>
      <c r="J212" s="192">
        <f>'Приложение 6'!K197</f>
        <v>779</v>
      </c>
    </row>
    <row r="213" spans="1:10" ht="15.75">
      <c r="A213" s="46" t="s">
        <v>72</v>
      </c>
      <c r="B213" s="41" t="s">
        <v>16</v>
      </c>
      <c r="C213" s="41" t="s">
        <v>12</v>
      </c>
      <c r="D213" s="41" t="s">
        <v>12</v>
      </c>
      <c r="E213" s="42">
        <v>3</v>
      </c>
      <c r="F213" s="41" t="s">
        <v>315</v>
      </c>
      <c r="G213" s="42">
        <v>29220</v>
      </c>
      <c r="H213" s="42"/>
      <c r="I213" s="192">
        <f>I214</f>
        <v>530</v>
      </c>
      <c r="J213" s="192">
        <f>J214</f>
        <v>520.6</v>
      </c>
    </row>
    <row r="214" spans="1:10" s="7" customFormat="1" ht="31.5">
      <c r="A214" s="46" t="s">
        <v>137</v>
      </c>
      <c r="B214" s="41" t="s">
        <v>16</v>
      </c>
      <c r="C214" s="41" t="s">
        <v>12</v>
      </c>
      <c r="D214" s="41" t="s">
        <v>12</v>
      </c>
      <c r="E214" s="42">
        <v>3</v>
      </c>
      <c r="F214" s="41" t="s">
        <v>315</v>
      </c>
      <c r="G214" s="42">
        <v>29220</v>
      </c>
      <c r="H214" s="42">
        <v>240</v>
      </c>
      <c r="I214" s="192">
        <f>'Приложение 6'!J199</f>
        <v>530</v>
      </c>
      <c r="J214" s="192">
        <f>'Приложение 6'!K199</f>
        <v>520.6</v>
      </c>
    </row>
    <row r="215" spans="1:10" s="7" customFormat="1" ht="15.75">
      <c r="A215" s="46" t="s">
        <v>74</v>
      </c>
      <c r="B215" s="41" t="s">
        <v>16</v>
      </c>
      <c r="C215" s="41" t="s">
        <v>12</v>
      </c>
      <c r="D215" s="41" t="s">
        <v>12</v>
      </c>
      <c r="E215" s="42">
        <v>3</v>
      </c>
      <c r="F215" s="41" t="s">
        <v>315</v>
      </c>
      <c r="G215" s="41" t="s">
        <v>371</v>
      </c>
      <c r="H215" s="42"/>
      <c r="I215" s="192">
        <f>I216</f>
        <v>14354</v>
      </c>
      <c r="J215" s="192">
        <f>J216</f>
        <v>10642.2</v>
      </c>
    </row>
    <row r="216" spans="1:10" s="7" customFormat="1" ht="31.5">
      <c r="A216" s="46" t="s">
        <v>137</v>
      </c>
      <c r="B216" s="41" t="s">
        <v>16</v>
      </c>
      <c r="C216" s="41" t="s">
        <v>12</v>
      </c>
      <c r="D216" s="41" t="s">
        <v>12</v>
      </c>
      <c r="E216" s="42">
        <v>3</v>
      </c>
      <c r="F216" s="41" t="s">
        <v>315</v>
      </c>
      <c r="G216" s="41" t="s">
        <v>371</v>
      </c>
      <c r="H216" s="42">
        <v>240</v>
      </c>
      <c r="I216" s="192">
        <f>'Приложение 6'!J201</f>
        <v>14354</v>
      </c>
      <c r="J216" s="192">
        <f>'Приложение 6'!K201</f>
        <v>10642.2</v>
      </c>
    </row>
    <row r="217" spans="1:10" ht="15.75">
      <c r="A217" s="46" t="s">
        <v>73</v>
      </c>
      <c r="B217" s="41" t="s">
        <v>16</v>
      </c>
      <c r="C217" s="41" t="s">
        <v>12</v>
      </c>
      <c r="D217" s="41" t="s">
        <v>12</v>
      </c>
      <c r="E217" s="42">
        <v>3</v>
      </c>
      <c r="F217" s="41" t="s">
        <v>315</v>
      </c>
      <c r="G217" s="42">
        <v>29490</v>
      </c>
      <c r="H217" s="42"/>
      <c r="I217" s="192">
        <f>I218</f>
        <v>100</v>
      </c>
      <c r="J217" s="192">
        <f>J218</f>
        <v>91.8</v>
      </c>
    </row>
    <row r="218" spans="1:10" s="7" customFormat="1" ht="31.5">
      <c r="A218" s="46" t="s">
        <v>137</v>
      </c>
      <c r="B218" s="41" t="s">
        <v>16</v>
      </c>
      <c r="C218" s="41" t="s">
        <v>12</v>
      </c>
      <c r="D218" s="41" t="s">
        <v>12</v>
      </c>
      <c r="E218" s="42">
        <v>3</v>
      </c>
      <c r="F218" s="41" t="s">
        <v>315</v>
      </c>
      <c r="G218" s="42">
        <v>29490</v>
      </c>
      <c r="H218" s="42">
        <v>240</v>
      </c>
      <c r="I218" s="192">
        <f>'Приложение 6'!J203</f>
        <v>100</v>
      </c>
      <c r="J218" s="192">
        <f>'Приложение 6'!K203</f>
        <v>91.8</v>
      </c>
    </row>
    <row r="219" spans="1:10" s="7" customFormat="1" ht="15.75">
      <c r="A219" s="40" t="s">
        <v>537</v>
      </c>
      <c r="B219" s="41" t="s">
        <v>16</v>
      </c>
      <c r="C219" s="41" t="s">
        <v>12</v>
      </c>
      <c r="D219" s="41" t="s">
        <v>12</v>
      </c>
      <c r="E219" s="42">
        <v>3</v>
      </c>
      <c r="F219" s="41" t="s">
        <v>315</v>
      </c>
      <c r="G219" s="41" t="s">
        <v>533</v>
      </c>
      <c r="H219" s="42"/>
      <c r="I219" s="192">
        <f>I220</f>
        <v>15</v>
      </c>
      <c r="J219" s="192">
        <f>J220</f>
        <v>6.2</v>
      </c>
    </row>
    <row r="220" spans="1:10" ht="31.5">
      <c r="A220" s="46" t="s">
        <v>137</v>
      </c>
      <c r="B220" s="41" t="s">
        <v>16</v>
      </c>
      <c r="C220" s="41" t="s">
        <v>12</v>
      </c>
      <c r="D220" s="41" t="s">
        <v>12</v>
      </c>
      <c r="E220" s="42">
        <v>3</v>
      </c>
      <c r="F220" s="41" t="s">
        <v>315</v>
      </c>
      <c r="G220" s="41" t="s">
        <v>533</v>
      </c>
      <c r="H220" s="42">
        <v>240</v>
      </c>
      <c r="I220" s="192">
        <f>'Приложение 6'!J205</f>
        <v>15</v>
      </c>
      <c r="J220" s="192">
        <f>'Приложение 6'!K205</f>
        <v>6.2</v>
      </c>
    </row>
    <row r="221" spans="1:10" ht="15.75">
      <c r="A221" s="46" t="s">
        <v>372</v>
      </c>
      <c r="B221" s="41" t="s">
        <v>16</v>
      </c>
      <c r="C221" s="41" t="s">
        <v>12</v>
      </c>
      <c r="D221" s="41" t="s">
        <v>12</v>
      </c>
      <c r="E221" s="42">
        <v>3</v>
      </c>
      <c r="F221" s="41" t="s">
        <v>315</v>
      </c>
      <c r="G221" s="41" t="s">
        <v>373</v>
      </c>
      <c r="H221" s="42"/>
      <c r="I221" s="192">
        <f>I222</f>
        <v>5700</v>
      </c>
      <c r="J221" s="192">
        <f>J222</f>
        <v>5646.8</v>
      </c>
    </row>
    <row r="222" spans="1:10" ht="31.5">
      <c r="A222" s="46" t="s">
        <v>137</v>
      </c>
      <c r="B222" s="41" t="s">
        <v>16</v>
      </c>
      <c r="C222" s="41" t="s">
        <v>12</v>
      </c>
      <c r="D222" s="41" t="s">
        <v>12</v>
      </c>
      <c r="E222" s="42">
        <v>3</v>
      </c>
      <c r="F222" s="41" t="s">
        <v>315</v>
      </c>
      <c r="G222" s="41" t="s">
        <v>373</v>
      </c>
      <c r="H222" s="42">
        <v>240</v>
      </c>
      <c r="I222" s="192">
        <f>'Приложение 6'!J207</f>
        <v>5700</v>
      </c>
      <c r="J222" s="192">
        <f>'Приложение 6'!K207</f>
        <v>5646.8</v>
      </c>
    </row>
    <row r="223" spans="1:10" ht="31.5">
      <c r="A223" s="46" t="s">
        <v>94</v>
      </c>
      <c r="B223" s="41" t="s">
        <v>16</v>
      </c>
      <c r="C223" s="41" t="s">
        <v>12</v>
      </c>
      <c r="D223" s="41" t="s">
        <v>12</v>
      </c>
      <c r="E223" s="42">
        <v>3</v>
      </c>
      <c r="F223" s="41" t="s">
        <v>315</v>
      </c>
      <c r="G223" s="41" t="s">
        <v>374</v>
      </c>
      <c r="H223" s="42"/>
      <c r="I223" s="192">
        <f>I224</f>
        <v>692.7</v>
      </c>
      <c r="J223" s="192">
        <f>J224</f>
        <v>692.7</v>
      </c>
    </row>
    <row r="224" spans="1:10" ht="31.5">
      <c r="A224" s="46" t="s">
        <v>137</v>
      </c>
      <c r="B224" s="41" t="s">
        <v>16</v>
      </c>
      <c r="C224" s="41" t="s">
        <v>12</v>
      </c>
      <c r="D224" s="41" t="s">
        <v>12</v>
      </c>
      <c r="E224" s="42">
        <v>3</v>
      </c>
      <c r="F224" s="41" t="s">
        <v>315</v>
      </c>
      <c r="G224" s="41" t="s">
        <v>374</v>
      </c>
      <c r="H224" s="42">
        <v>240</v>
      </c>
      <c r="I224" s="192">
        <f>'Приложение 6'!J209</f>
        <v>692.7</v>
      </c>
      <c r="J224" s="192">
        <f>'Приложение 6'!K209</f>
        <v>692.7</v>
      </c>
    </row>
    <row r="225" spans="1:10" ht="31.5">
      <c r="A225" s="46" t="s">
        <v>447</v>
      </c>
      <c r="B225" s="41" t="s">
        <v>16</v>
      </c>
      <c r="C225" s="41" t="s">
        <v>12</v>
      </c>
      <c r="D225" s="41" t="s">
        <v>12</v>
      </c>
      <c r="E225" s="42">
        <v>3</v>
      </c>
      <c r="F225" s="41" t="s">
        <v>315</v>
      </c>
      <c r="G225" s="41" t="s">
        <v>448</v>
      </c>
      <c r="H225" s="42"/>
      <c r="I225" s="192">
        <f>I226</f>
        <v>551.90000000000009</v>
      </c>
      <c r="J225" s="192">
        <f>J226</f>
        <v>551.79999999999995</v>
      </c>
    </row>
    <row r="226" spans="1:10" ht="31.5">
      <c r="A226" s="46" t="s">
        <v>137</v>
      </c>
      <c r="B226" s="41" t="s">
        <v>16</v>
      </c>
      <c r="C226" s="41" t="s">
        <v>12</v>
      </c>
      <c r="D226" s="41" t="s">
        <v>12</v>
      </c>
      <c r="E226" s="42">
        <v>3</v>
      </c>
      <c r="F226" s="41" t="s">
        <v>315</v>
      </c>
      <c r="G226" s="41" t="s">
        <v>448</v>
      </c>
      <c r="H226" s="42">
        <v>240</v>
      </c>
      <c r="I226" s="192">
        <f>'Приложение 6'!J211</f>
        <v>551.90000000000009</v>
      </c>
      <c r="J226" s="192">
        <f>'Приложение 6'!K211</f>
        <v>551.79999999999995</v>
      </c>
    </row>
    <row r="227" spans="1:10" ht="15.75">
      <c r="A227" s="46" t="s">
        <v>107</v>
      </c>
      <c r="B227" s="41" t="s">
        <v>16</v>
      </c>
      <c r="C227" s="41" t="s">
        <v>12</v>
      </c>
      <c r="D227" s="41" t="s">
        <v>12</v>
      </c>
      <c r="E227" s="42">
        <v>3</v>
      </c>
      <c r="F227" s="41" t="s">
        <v>315</v>
      </c>
      <c r="G227" s="41" t="s">
        <v>375</v>
      </c>
      <c r="H227" s="42"/>
      <c r="I227" s="192">
        <f>I228</f>
        <v>1064.0000000000002</v>
      </c>
      <c r="J227" s="192">
        <f>J228</f>
        <v>1063.9000000000001</v>
      </c>
    </row>
    <row r="228" spans="1:10" ht="31.5">
      <c r="A228" s="46" t="s">
        <v>137</v>
      </c>
      <c r="B228" s="41" t="s">
        <v>16</v>
      </c>
      <c r="C228" s="41" t="s">
        <v>12</v>
      </c>
      <c r="D228" s="41" t="s">
        <v>12</v>
      </c>
      <c r="E228" s="42">
        <v>3</v>
      </c>
      <c r="F228" s="41" t="s">
        <v>315</v>
      </c>
      <c r="G228" s="41" t="s">
        <v>375</v>
      </c>
      <c r="H228" s="42">
        <v>240</v>
      </c>
      <c r="I228" s="192">
        <f>'Приложение 6'!J213</f>
        <v>1064.0000000000002</v>
      </c>
      <c r="J228" s="192">
        <f>'Приложение 6'!K213</f>
        <v>1063.9000000000001</v>
      </c>
    </row>
    <row r="229" spans="1:10" ht="63">
      <c r="A229" s="46" t="s">
        <v>527</v>
      </c>
      <c r="B229" s="41" t="s">
        <v>16</v>
      </c>
      <c r="C229" s="41" t="s">
        <v>12</v>
      </c>
      <c r="D229" s="41" t="s">
        <v>437</v>
      </c>
      <c r="E229" s="42">
        <v>0</v>
      </c>
      <c r="F229" s="41" t="s">
        <v>315</v>
      </c>
      <c r="G229" s="41" t="s">
        <v>423</v>
      </c>
      <c r="H229" s="42"/>
      <c r="I229" s="192">
        <f t="shared" ref="I229:J232" si="13">I230</f>
        <v>1327.9</v>
      </c>
      <c r="J229" s="192">
        <f t="shared" si="13"/>
        <v>1171.3</v>
      </c>
    </row>
    <row r="230" spans="1:10" ht="63">
      <c r="A230" s="46" t="s">
        <v>538</v>
      </c>
      <c r="B230" s="41" t="s">
        <v>16</v>
      </c>
      <c r="C230" s="41" t="s">
        <v>12</v>
      </c>
      <c r="D230" s="41" t="s">
        <v>437</v>
      </c>
      <c r="E230" s="42">
        <v>1</v>
      </c>
      <c r="F230" s="41" t="s">
        <v>315</v>
      </c>
      <c r="G230" s="41" t="s">
        <v>423</v>
      </c>
      <c r="H230" s="42"/>
      <c r="I230" s="192">
        <f t="shared" si="13"/>
        <v>1327.9</v>
      </c>
      <c r="J230" s="192">
        <f t="shared" si="13"/>
        <v>1171.3</v>
      </c>
    </row>
    <row r="231" spans="1:10" ht="110.25">
      <c r="A231" s="46" t="s">
        <v>540</v>
      </c>
      <c r="B231" s="41" t="s">
        <v>16</v>
      </c>
      <c r="C231" s="41" t="s">
        <v>12</v>
      </c>
      <c r="D231" s="41" t="s">
        <v>437</v>
      </c>
      <c r="E231" s="42">
        <v>1</v>
      </c>
      <c r="F231" s="41" t="s">
        <v>12</v>
      </c>
      <c r="G231" s="41" t="s">
        <v>423</v>
      </c>
      <c r="H231" s="42"/>
      <c r="I231" s="192">
        <f t="shared" si="13"/>
        <v>1327.9</v>
      </c>
      <c r="J231" s="192">
        <f t="shared" si="13"/>
        <v>1171.3</v>
      </c>
    </row>
    <row r="232" spans="1:10" ht="94.5">
      <c r="A232" s="46" t="s">
        <v>539</v>
      </c>
      <c r="B232" s="41" t="s">
        <v>16</v>
      </c>
      <c r="C232" s="41" t="s">
        <v>12</v>
      </c>
      <c r="D232" s="41" t="s">
        <v>437</v>
      </c>
      <c r="E232" s="42">
        <v>1</v>
      </c>
      <c r="F232" s="41" t="s">
        <v>12</v>
      </c>
      <c r="G232" s="41" t="s">
        <v>442</v>
      </c>
      <c r="H232" s="42"/>
      <c r="I232" s="192">
        <f t="shared" si="13"/>
        <v>1327.9</v>
      </c>
      <c r="J232" s="192">
        <f t="shared" si="13"/>
        <v>1171.3</v>
      </c>
    </row>
    <row r="233" spans="1:10" ht="31.5">
      <c r="A233" s="200" t="s">
        <v>38</v>
      </c>
      <c r="B233" s="41" t="s">
        <v>16</v>
      </c>
      <c r="C233" s="41" t="s">
        <v>12</v>
      </c>
      <c r="D233" s="41" t="s">
        <v>437</v>
      </c>
      <c r="E233" s="42">
        <v>1</v>
      </c>
      <c r="F233" s="41" t="s">
        <v>12</v>
      </c>
      <c r="G233" s="41" t="s">
        <v>442</v>
      </c>
      <c r="H233" s="42">
        <v>540</v>
      </c>
      <c r="I233" s="192">
        <f>'Приложение 6'!J218</f>
        <v>1327.9</v>
      </c>
      <c r="J233" s="192">
        <f>'Приложение 6'!K218</f>
        <v>1171.3</v>
      </c>
    </row>
    <row r="234" spans="1:10" ht="31.5">
      <c r="A234" s="46" t="s">
        <v>376</v>
      </c>
      <c r="B234" s="41" t="s">
        <v>16</v>
      </c>
      <c r="C234" s="41" t="s">
        <v>16</v>
      </c>
      <c r="D234" s="41" t="s">
        <v>315</v>
      </c>
      <c r="E234" s="42">
        <v>0</v>
      </c>
      <c r="F234" s="41" t="s">
        <v>315</v>
      </c>
      <c r="G234" s="41" t="s">
        <v>423</v>
      </c>
      <c r="H234" s="42"/>
      <c r="I234" s="192">
        <f>I235+I243</f>
        <v>21503.4</v>
      </c>
      <c r="J234" s="192">
        <f>J235+J243</f>
        <v>17489.3</v>
      </c>
    </row>
    <row r="235" spans="1:10" ht="47.25">
      <c r="A235" s="40" t="s">
        <v>441</v>
      </c>
      <c r="B235" s="41" t="s">
        <v>16</v>
      </c>
      <c r="C235" s="41" t="s">
        <v>16</v>
      </c>
      <c r="D235" s="41" t="s">
        <v>12</v>
      </c>
      <c r="E235" s="42">
        <v>0</v>
      </c>
      <c r="F235" s="41" t="s">
        <v>315</v>
      </c>
      <c r="G235" s="41" t="s">
        <v>423</v>
      </c>
      <c r="H235" s="42"/>
      <c r="I235" s="192">
        <f>I236</f>
        <v>21062.400000000001</v>
      </c>
      <c r="J235" s="192">
        <f>J236</f>
        <v>17219</v>
      </c>
    </row>
    <row r="236" spans="1:10" ht="15.75">
      <c r="A236" s="46" t="s">
        <v>75</v>
      </c>
      <c r="B236" s="41" t="s">
        <v>16</v>
      </c>
      <c r="C236" s="41" t="s">
        <v>16</v>
      </c>
      <c r="D236" s="41" t="s">
        <v>12</v>
      </c>
      <c r="E236" s="42">
        <v>4</v>
      </c>
      <c r="F236" s="41" t="s">
        <v>315</v>
      </c>
      <c r="G236" s="41" t="s">
        <v>423</v>
      </c>
      <c r="H236" s="42"/>
      <c r="I236" s="192">
        <f>I237+I241</f>
        <v>21062.400000000001</v>
      </c>
      <c r="J236" s="192">
        <f>J237+J241</f>
        <v>17219</v>
      </c>
    </row>
    <row r="237" spans="1:10" ht="31.5">
      <c r="A237" s="46" t="s">
        <v>76</v>
      </c>
      <c r="B237" s="41" t="s">
        <v>16</v>
      </c>
      <c r="C237" s="41" t="s">
        <v>16</v>
      </c>
      <c r="D237" s="41" t="s">
        <v>12</v>
      </c>
      <c r="E237" s="42">
        <v>4</v>
      </c>
      <c r="F237" s="41" t="s">
        <v>315</v>
      </c>
      <c r="G237" s="41" t="s">
        <v>377</v>
      </c>
      <c r="H237" s="42"/>
      <c r="I237" s="192">
        <f>SUM(I238:I240)</f>
        <v>20262.400000000001</v>
      </c>
      <c r="J237" s="192">
        <f>SUM(J238:J240)</f>
        <v>16419</v>
      </c>
    </row>
    <row r="238" spans="1:10" ht="15.75">
      <c r="A238" s="40" t="s">
        <v>115</v>
      </c>
      <c r="B238" s="41" t="s">
        <v>16</v>
      </c>
      <c r="C238" s="41" t="s">
        <v>16</v>
      </c>
      <c r="D238" s="41" t="s">
        <v>12</v>
      </c>
      <c r="E238" s="42">
        <v>4</v>
      </c>
      <c r="F238" s="41" t="s">
        <v>315</v>
      </c>
      <c r="G238" s="41" t="s">
        <v>377</v>
      </c>
      <c r="H238" s="42">
        <v>110</v>
      </c>
      <c r="I238" s="192">
        <f>'Приложение 6'!J223</f>
        <v>15575.8</v>
      </c>
      <c r="J238" s="192">
        <f>'Приложение 6'!K223</f>
        <v>12990</v>
      </c>
    </row>
    <row r="239" spans="1:10" ht="31.5">
      <c r="A239" s="46" t="s">
        <v>137</v>
      </c>
      <c r="B239" s="41" t="s">
        <v>16</v>
      </c>
      <c r="C239" s="41" t="s">
        <v>16</v>
      </c>
      <c r="D239" s="41" t="s">
        <v>12</v>
      </c>
      <c r="E239" s="42">
        <v>4</v>
      </c>
      <c r="F239" s="41" t="s">
        <v>315</v>
      </c>
      <c r="G239" s="41" t="s">
        <v>377</v>
      </c>
      <c r="H239" s="42">
        <v>240</v>
      </c>
      <c r="I239" s="192">
        <f>'Приложение 6'!J224</f>
        <v>4639.6000000000004</v>
      </c>
      <c r="J239" s="192">
        <f>'Приложение 6'!K224</f>
        <v>3382.8</v>
      </c>
    </row>
    <row r="240" spans="1:10" ht="15.75">
      <c r="A240" s="40" t="s">
        <v>117</v>
      </c>
      <c r="B240" s="41" t="s">
        <v>16</v>
      </c>
      <c r="C240" s="41" t="s">
        <v>16</v>
      </c>
      <c r="D240" s="41" t="s">
        <v>12</v>
      </c>
      <c r="E240" s="42">
        <v>4</v>
      </c>
      <c r="F240" s="41" t="s">
        <v>315</v>
      </c>
      <c r="G240" s="41" t="s">
        <v>377</v>
      </c>
      <c r="H240" s="42">
        <v>850</v>
      </c>
      <c r="I240" s="192">
        <f>'Приложение 6'!J225</f>
        <v>47</v>
      </c>
      <c r="J240" s="192">
        <f>'Приложение 6'!K225</f>
        <v>46.2</v>
      </c>
    </row>
    <row r="241" spans="1:10" ht="141.75">
      <c r="A241" s="40" t="s">
        <v>541</v>
      </c>
      <c r="B241" s="41" t="s">
        <v>16</v>
      </c>
      <c r="C241" s="41" t="s">
        <v>16</v>
      </c>
      <c r="D241" s="41" t="s">
        <v>12</v>
      </c>
      <c r="E241" s="42">
        <v>4</v>
      </c>
      <c r="F241" s="41" t="s">
        <v>315</v>
      </c>
      <c r="G241" s="41" t="s">
        <v>514</v>
      </c>
      <c r="H241" s="42"/>
      <c r="I241" s="192">
        <f>I242</f>
        <v>800</v>
      </c>
      <c r="J241" s="192">
        <f>J242</f>
        <v>800</v>
      </c>
    </row>
    <row r="242" spans="1:10" ht="15.75">
      <c r="A242" s="40" t="s">
        <v>115</v>
      </c>
      <c r="B242" s="41" t="s">
        <v>16</v>
      </c>
      <c r="C242" s="41" t="s">
        <v>16</v>
      </c>
      <c r="D242" s="41" t="s">
        <v>12</v>
      </c>
      <c r="E242" s="42">
        <v>4</v>
      </c>
      <c r="F242" s="41" t="s">
        <v>315</v>
      </c>
      <c r="G242" s="41" t="s">
        <v>514</v>
      </c>
      <c r="H242" s="42">
        <v>110</v>
      </c>
      <c r="I242" s="192">
        <f>'Приложение 6'!J227</f>
        <v>800</v>
      </c>
      <c r="J242" s="192">
        <f>'Приложение 6'!K227</f>
        <v>800</v>
      </c>
    </row>
    <row r="243" spans="1:10" ht="63">
      <c r="A243" s="40" t="s">
        <v>132</v>
      </c>
      <c r="B243" s="41" t="s">
        <v>16</v>
      </c>
      <c r="C243" s="41" t="s">
        <v>16</v>
      </c>
      <c r="D243" s="41" t="s">
        <v>18</v>
      </c>
      <c r="E243" s="42">
        <v>0</v>
      </c>
      <c r="F243" s="41" t="s">
        <v>315</v>
      </c>
      <c r="G243" s="41" t="s">
        <v>423</v>
      </c>
      <c r="H243" s="42"/>
      <c r="I243" s="192">
        <f>I244</f>
        <v>441</v>
      </c>
      <c r="J243" s="192">
        <f>J244</f>
        <v>270.3</v>
      </c>
    </row>
    <row r="244" spans="1:10" ht="31.5">
      <c r="A244" s="40" t="s">
        <v>378</v>
      </c>
      <c r="B244" s="41" t="s">
        <v>16</v>
      </c>
      <c r="C244" s="41" t="s">
        <v>16</v>
      </c>
      <c r="D244" s="41" t="s">
        <v>18</v>
      </c>
      <c r="E244" s="42">
        <v>2</v>
      </c>
      <c r="F244" s="41" t="s">
        <v>315</v>
      </c>
      <c r="G244" s="41" t="s">
        <v>423</v>
      </c>
      <c r="H244" s="42"/>
      <c r="I244" s="192">
        <f>I245+I248</f>
        <v>441</v>
      </c>
      <c r="J244" s="192">
        <f>J245+J248</f>
        <v>270.3</v>
      </c>
    </row>
    <row r="245" spans="1:10" ht="15.75">
      <c r="A245" s="40" t="s">
        <v>379</v>
      </c>
      <c r="B245" s="41" t="s">
        <v>16</v>
      </c>
      <c r="C245" s="41" t="s">
        <v>16</v>
      </c>
      <c r="D245" s="41" t="s">
        <v>18</v>
      </c>
      <c r="E245" s="42">
        <v>2</v>
      </c>
      <c r="F245" s="41" t="s">
        <v>13</v>
      </c>
      <c r="G245" s="41"/>
      <c r="H245" s="42"/>
      <c r="I245" s="192">
        <f>I246</f>
        <v>416</v>
      </c>
      <c r="J245" s="192">
        <f>J246</f>
        <v>268.8</v>
      </c>
    </row>
    <row r="246" spans="1:10" ht="47.25">
      <c r="A246" s="46" t="s">
        <v>125</v>
      </c>
      <c r="B246" s="41" t="s">
        <v>16</v>
      </c>
      <c r="C246" s="41" t="s">
        <v>16</v>
      </c>
      <c r="D246" s="41" t="s">
        <v>18</v>
      </c>
      <c r="E246" s="41" t="s">
        <v>330</v>
      </c>
      <c r="F246" s="41" t="s">
        <v>13</v>
      </c>
      <c r="G246" s="41" t="s">
        <v>339</v>
      </c>
      <c r="H246" s="41"/>
      <c r="I246" s="192">
        <f>I247</f>
        <v>416</v>
      </c>
      <c r="J246" s="192">
        <f>J247</f>
        <v>268.8</v>
      </c>
    </row>
    <row r="247" spans="1:10" ht="31.5">
      <c r="A247" s="46" t="s">
        <v>137</v>
      </c>
      <c r="B247" s="41" t="s">
        <v>16</v>
      </c>
      <c r="C247" s="41" t="s">
        <v>16</v>
      </c>
      <c r="D247" s="41" t="s">
        <v>18</v>
      </c>
      <c r="E247" s="41" t="s">
        <v>330</v>
      </c>
      <c r="F247" s="41" t="s">
        <v>13</v>
      </c>
      <c r="G247" s="41" t="s">
        <v>339</v>
      </c>
      <c r="H247" s="41" t="s">
        <v>127</v>
      </c>
      <c r="I247" s="192">
        <f>'Приложение 6'!J232</f>
        <v>416</v>
      </c>
      <c r="J247" s="192">
        <f>'Приложение 6'!K232</f>
        <v>268.8</v>
      </c>
    </row>
    <row r="248" spans="1:10" ht="31.5">
      <c r="A248" s="40" t="s">
        <v>342</v>
      </c>
      <c r="B248" s="41" t="s">
        <v>16</v>
      </c>
      <c r="C248" s="41" t="s">
        <v>16</v>
      </c>
      <c r="D248" s="41" t="s">
        <v>18</v>
      </c>
      <c r="E248" s="41" t="s">
        <v>330</v>
      </c>
      <c r="F248" s="41" t="s">
        <v>12</v>
      </c>
      <c r="G248" s="41" t="s">
        <v>423</v>
      </c>
      <c r="H248" s="41"/>
      <c r="I248" s="192">
        <f>I249</f>
        <v>25</v>
      </c>
      <c r="J248" s="192">
        <f>J249</f>
        <v>1.5</v>
      </c>
    </row>
    <row r="249" spans="1:10" ht="47.25">
      <c r="A249" s="46" t="s">
        <v>125</v>
      </c>
      <c r="B249" s="41" t="s">
        <v>16</v>
      </c>
      <c r="C249" s="41" t="s">
        <v>16</v>
      </c>
      <c r="D249" s="41" t="s">
        <v>18</v>
      </c>
      <c r="E249" s="41" t="s">
        <v>330</v>
      </c>
      <c r="F249" s="41" t="s">
        <v>12</v>
      </c>
      <c r="G249" s="41" t="s">
        <v>339</v>
      </c>
      <c r="H249" s="41"/>
      <c r="I249" s="192">
        <f>I250</f>
        <v>25</v>
      </c>
      <c r="J249" s="192">
        <f>J250</f>
        <v>1.5</v>
      </c>
    </row>
    <row r="250" spans="1:10" ht="31.5">
      <c r="A250" s="46" t="s">
        <v>137</v>
      </c>
      <c r="B250" s="41" t="s">
        <v>16</v>
      </c>
      <c r="C250" s="41" t="s">
        <v>16</v>
      </c>
      <c r="D250" s="41" t="s">
        <v>18</v>
      </c>
      <c r="E250" s="41" t="s">
        <v>330</v>
      </c>
      <c r="F250" s="41" t="s">
        <v>12</v>
      </c>
      <c r="G250" s="41" t="s">
        <v>339</v>
      </c>
      <c r="H250" s="41" t="s">
        <v>127</v>
      </c>
      <c r="I250" s="192">
        <f>'Приложение 6'!J235</f>
        <v>25</v>
      </c>
      <c r="J250" s="192">
        <f>'Приложение 6'!K235</f>
        <v>1.5</v>
      </c>
    </row>
    <row r="251" spans="1:10" s="7" customFormat="1" ht="15.75">
      <c r="A251" s="213" t="s">
        <v>279</v>
      </c>
      <c r="B251" s="214" t="s">
        <v>18</v>
      </c>
      <c r="C251" s="214"/>
      <c r="D251" s="214"/>
      <c r="E251" s="215"/>
      <c r="F251" s="214"/>
      <c r="G251" s="214"/>
      <c r="H251" s="215"/>
      <c r="I251" s="211">
        <f>I252+I256</f>
        <v>194.6</v>
      </c>
      <c r="J251" s="211">
        <f>J252+J256</f>
        <v>159.5</v>
      </c>
    </row>
    <row r="252" spans="1:10" ht="31.5">
      <c r="A252" s="203" t="s">
        <v>30</v>
      </c>
      <c r="B252" s="41" t="s">
        <v>18</v>
      </c>
      <c r="C252" s="41" t="s">
        <v>16</v>
      </c>
      <c r="D252" s="41"/>
      <c r="E252" s="42"/>
      <c r="F252" s="41"/>
      <c r="G252" s="41"/>
      <c r="H252" s="42"/>
      <c r="I252" s="192">
        <f t="shared" ref="I252:J254" si="14">I253</f>
        <v>31.5</v>
      </c>
      <c r="J252" s="192">
        <f t="shared" si="14"/>
        <v>31.5</v>
      </c>
    </row>
    <row r="253" spans="1:10" ht="110.25">
      <c r="A253" s="40" t="s">
        <v>542</v>
      </c>
      <c r="B253" s="41" t="s">
        <v>18</v>
      </c>
      <c r="C253" s="41" t="s">
        <v>16</v>
      </c>
      <c r="D253" s="41" t="s">
        <v>543</v>
      </c>
      <c r="E253" s="42">
        <v>0</v>
      </c>
      <c r="F253" s="41" t="s">
        <v>315</v>
      </c>
      <c r="G253" s="41" t="s">
        <v>423</v>
      </c>
      <c r="H253" s="42"/>
      <c r="I253" s="192">
        <f t="shared" si="14"/>
        <v>31.5</v>
      </c>
      <c r="J253" s="192">
        <f t="shared" si="14"/>
        <v>31.5</v>
      </c>
    </row>
    <row r="254" spans="1:10" ht="31.5">
      <c r="A254" s="46" t="s">
        <v>544</v>
      </c>
      <c r="B254" s="41" t="s">
        <v>18</v>
      </c>
      <c r="C254" s="41" t="s">
        <v>16</v>
      </c>
      <c r="D254" s="41" t="s">
        <v>543</v>
      </c>
      <c r="E254" s="42">
        <v>0</v>
      </c>
      <c r="F254" s="41" t="s">
        <v>315</v>
      </c>
      <c r="G254" s="41" t="s">
        <v>545</v>
      </c>
      <c r="H254" s="42"/>
      <c r="I254" s="192">
        <f t="shared" si="14"/>
        <v>31.5</v>
      </c>
      <c r="J254" s="192">
        <f t="shared" si="14"/>
        <v>31.5</v>
      </c>
    </row>
    <row r="255" spans="1:10" ht="31.5">
      <c r="A255" s="46" t="s">
        <v>137</v>
      </c>
      <c r="B255" s="41" t="s">
        <v>18</v>
      </c>
      <c r="C255" s="41" t="s">
        <v>16</v>
      </c>
      <c r="D255" s="41" t="s">
        <v>543</v>
      </c>
      <c r="E255" s="42">
        <v>0</v>
      </c>
      <c r="F255" s="41" t="s">
        <v>315</v>
      </c>
      <c r="G255" s="41" t="s">
        <v>545</v>
      </c>
      <c r="H255" s="42">
        <v>240</v>
      </c>
      <c r="I255" s="192">
        <f>'Приложение 6'!J240</f>
        <v>31.5</v>
      </c>
      <c r="J255" s="192">
        <f>'Приложение 6'!K240</f>
        <v>31.5</v>
      </c>
    </row>
    <row r="256" spans="1:10" ht="15.75">
      <c r="A256" s="40" t="s">
        <v>79</v>
      </c>
      <c r="B256" s="41" t="s">
        <v>18</v>
      </c>
      <c r="C256" s="41" t="s">
        <v>18</v>
      </c>
      <c r="D256" s="41"/>
      <c r="E256" s="42"/>
      <c r="F256" s="41"/>
      <c r="G256" s="41"/>
      <c r="H256" s="42"/>
      <c r="I256" s="201">
        <f>I257</f>
        <v>163.1</v>
      </c>
      <c r="J256" s="201">
        <f>J257</f>
        <v>128</v>
      </c>
    </row>
    <row r="257" spans="1:10" ht="63">
      <c r="A257" s="46" t="s">
        <v>449</v>
      </c>
      <c r="B257" s="41" t="s">
        <v>18</v>
      </c>
      <c r="C257" s="41" t="s">
        <v>18</v>
      </c>
      <c r="D257" s="41" t="s">
        <v>66</v>
      </c>
      <c r="E257" s="42">
        <v>0</v>
      </c>
      <c r="F257" s="41" t="s">
        <v>315</v>
      </c>
      <c r="G257" s="41" t="s">
        <v>423</v>
      </c>
      <c r="H257" s="42"/>
      <c r="I257" s="201">
        <f>I258</f>
        <v>163.1</v>
      </c>
      <c r="J257" s="201">
        <f>J258</f>
        <v>128</v>
      </c>
    </row>
    <row r="258" spans="1:10" ht="15.75">
      <c r="A258" s="40" t="s">
        <v>79</v>
      </c>
      <c r="B258" s="41" t="s">
        <v>18</v>
      </c>
      <c r="C258" s="41" t="s">
        <v>18</v>
      </c>
      <c r="D258" s="41" t="s">
        <v>66</v>
      </c>
      <c r="E258" s="42">
        <v>1</v>
      </c>
      <c r="F258" s="41" t="s">
        <v>315</v>
      </c>
      <c r="G258" s="41" t="s">
        <v>423</v>
      </c>
      <c r="H258" s="42"/>
      <c r="I258" s="201">
        <f>I259+I261</f>
        <v>163.1</v>
      </c>
      <c r="J258" s="201">
        <f>J259+J261</f>
        <v>128</v>
      </c>
    </row>
    <row r="259" spans="1:10" ht="31.5">
      <c r="A259" s="40" t="s">
        <v>80</v>
      </c>
      <c r="B259" s="41" t="s">
        <v>18</v>
      </c>
      <c r="C259" s="41" t="s">
        <v>18</v>
      </c>
      <c r="D259" s="41" t="s">
        <v>66</v>
      </c>
      <c r="E259" s="42">
        <v>1</v>
      </c>
      <c r="F259" s="41" t="s">
        <v>315</v>
      </c>
      <c r="G259" s="41" t="s">
        <v>380</v>
      </c>
      <c r="H259" s="42"/>
      <c r="I259" s="201">
        <f>I260</f>
        <v>98.1</v>
      </c>
      <c r="J259" s="201">
        <f>J260</f>
        <v>98</v>
      </c>
    </row>
    <row r="260" spans="1:10" ht="15.75">
      <c r="A260" s="40" t="s">
        <v>115</v>
      </c>
      <c r="B260" s="41" t="s">
        <v>18</v>
      </c>
      <c r="C260" s="41" t="s">
        <v>18</v>
      </c>
      <c r="D260" s="41" t="s">
        <v>66</v>
      </c>
      <c r="E260" s="42">
        <v>1</v>
      </c>
      <c r="F260" s="41" t="s">
        <v>315</v>
      </c>
      <c r="G260" s="41" t="s">
        <v>380</v>
      </c>
      <c r="H260" s="42">
        <v>110</v>
      </c>
      <c r="I260" s="201">
        <f>'Приложение 6'!J245</f>
        <v>98.1</v>
      </c>
      <c r="J260" s="201">
        <f>'Приложение 6'!K245</f>
        <v>98</v>
      </c>
    </row>
    <row r="261" spans="1:10" ht="15.75">
      <c r="A261" s="40" t="s">
        <v>78</v>
      </c>
      <c r="B261" s="41" t="s">
        <v>18</v>
      </c>
      <c r="C261" s="41" t="s">
        <v>18</v>
      </c>
      <c r="D261" s="41" t="s">
        <v>66</v>
      </c>
      <c r="E261" s="42">
        <v>1</v>
      </c>
      <c r="F261" s="41" t="s">
        <v>315</v>
      </c>
      <c r="G261" s="41" t="s">
        <v>381</v>
      </c>
      <c r="H261" s="42"/>
      <c r="I261" s="201">
        <f>I262</f>
        <v>65</v>
      </c>
      <c r="J261" s="201">
        <f>J262</f>
        <v>30</v>
      </c>
    </row>
    <row r="262" spans="1:10" ht="31.5">
      <c r="A262" s="46" t="s">
        <v>137</v>
      </c>
      <c r="B262" s="41" t="s">
        <v>18</v>
      </c>
      <c r="C262" s="41" t="s">
        <v>18</v>
      </c>
      <c r="D262" s="41" t="s">
        <v>66</v>
      </c>
      <c r="E262" s="42">
        <v>1</v>
      </c>
      <c r="F262" s="41" t="s">
        <v>315</v>
      </c>
      <c r="G262" s="41" t="s">
        <v>381</v>
      </c>
      <c r="H262" s="42">
        <v>240</v>
      </c>
      <c r="I262" s="201">
        <f>'Приложение 6'!J247</f>
        <v>65</v>
      </c>
      <c r="J262" s="201">
        <f>'Приложение 6'!K247</f>
        <v>30</v>
      </c>
    </row>
    <row r="263" spans="1:10" s="7" customFormat="1" ht="15.75">
      <c r="A263" s="213" t="s">
        <v>280</v>
      </c>
      <c r="B263" s="214" t="s">
        <v>19</v>
      </c>
      <c r="C263" s="214"/>
      <c r="D263" s="214"/>
      <c r="E263" s="215"/>
      <c r="F263" s="214"/>
      <c r="G263" s="214"/>
      <c r="H263" s="215"/>
      <c r="I263" s="211">
        <f>I264+I296</f>
        <v>14626.899999999998</v>
      </c>
      <c r="J263" s="211">
        <f>J264+J296</f>
        <v>13357</v>
      </c>
    </row>
    <row r="264" spans="1:10" ht="15.75">
      <c r="A264" s="40" t="s">
        <v>20</v>
      </c>
      <c r="B264" s="41" t="s">
        <v>19</v>
      </c>
      <c r="C264" s="42" t="s">
        <v>11</v>
      </c>
      <c r="D264" s="41" t="s">
        <v>10</v>
      </c>
      <c r="E264" s="42"/>
      <c r="F264" s="41"/>
      <c r="G264" s="41"/>
      <c r="H264" s="42" t="s">
        <v>8</v>
      </c>
      <c r="I264" s="201">
        <f>I288+I265+I276+I284</f>
        <v>13917.299999999997</v>
      </c>
      <c r="J264" s="201">
        <f>J288+J265+J276+J284</f>
        <v>12651</v>
      </c>
    </row>
    <row r="265" spans="1:10" ht="63">
      <c r="A265" s="46" t="s">
        <v>449</v>
      </c>
      <c r="B265" s="41" t="s">
        <v>19</v>
      </c>
      <c r="C265" s="41" t="s">
        <v>11</v>
      </c>
      <c r="D265" s="41" t="s">
        <v>66</v>
      </c>
      <c r="E265" s="42">
        <v>0</v>
      </c>
      <c r="F265" s="41" t="s">
        <v>315</v>
      </c>
      <c r="G265" s="41" t="s">
        <v>423</v>
      </c>
      <c r="H265" s="42"/>
      <c r="I265" s="201">
        <f>I266+I271</f>
        <v>12129.499999999998</v>
      </c>
      <c r="J265" s="201">
        <f>J266+J271</f>
        <v>11482.1</v>
      </c>
    </row>
    <row r="266" spans="1:10" ht="15.75">
      <c r="A266" s="46" t="s">
        <v>81</v>
      </c>
      <c r="B266" s="41" t="s">
        <v>19</v>
      </c>
      <c r="C266" s="41" t="s">
        <v>11</v>
      </c>
      <c r="D266" s="41" t="s">
        <v>66</v>
      </c>
      <c r="E266" s="42">
        <v>2</v>
      </c>
      <c r="F266" s="41" t="s">
        <v>315</v>
      </c>
      <c r="G266" s="41" t="s">
        <v>423</v>
      </c>
      <c r="H266" s="42"/>
      <c r="I266" s="201">
        <f>I267</f>
        <v>2878.9</v>
      </c>
      <c r="J266" s="201">
        <f>J267</f>
        <v>2482.6</v>
      </c>
    </row>
    <row r="267" spans="1:10" ht="31.5">
      <c r="A267" s="46" t="s">
        <v>76</v>
      </c>
      <c r="B267" s="41" t="s">
        <v>19</v>
      </c>
      <c r="C267" s="41" t="s">
        <v>11</v>
      </c>
      <c r="D267" s="41" t="s">
        <v>66</v>
      </c>
      <c r="E267" s="42">
        <v>2</v>
      </c>
      <c r="F267" s="41" t="s">
        <v>315</v>
      </c>
      <c r="G267" s="41" t="s">
        <v>377</v>
      </c>
      <c r="H267" s="42"/>
      <c r="I267" s="201">
        <f>SUM(I268:I270)</f>
        <v>2878.9</v>
      </c>
      <c r="J267" s="201">
        <f>SUM(J268:J270)</f>
        <v>2482.6</v>
      </c>
    </row>
    <row r="268" spans="1:10" ht="15.75">
      <c r="A268" s="40" t="s">
        <v>115</v>
      </c>
      <c r="B268" s="41" t="s">
        <v>19</v>
      </c>
      <c r="C268" s="41" t="s">
        <v>11</v>
      </c>
      <c r="D268" s="41" t="s">
        <v>66</v>
      </c>
      <c r="E268" s="42">
        <v>2</v>
      </c>
      <c r="F268" s="41" t="s">
        <v>315</v>
      </c>
      <c r="G268" s="41" t="s">
        <v>377</v>
      </c>
      <c r="H268" s="42">
        <v>110</v>
      </c>
      <c r="I268" s="201">
        <f>'Приложение 6'!J253</f>
        <v>1867.3</v>
      </c>
      <c r="J268" s="201">
        <f>'Приложение 6'!K253</f>
        <v>1584.5</v>
      </c>
    </row>
    <row r="269" spans="1:10" ht="31.5">
      <c r="A269" s="46" t="s">
        <v>137</v>
      </c>
      <c r="B269" s="41" t="s">
        <v>19</v>
      </c>
      <c r="C269" s="41" t="s">
        <v>11</v>
      </c>
      <c r="D269" s="41" t="s">
        <v>66</v>
      </c>
      <c r="E269" s="42">
        <v>2</v>
      </c>
      <c r="F269" s="41" t="s">
        <v>315</v>
      </c>
      <c r="G269" s="41" t="s">
        <v>377</v>
      </c>
      <c r="H269" s="42">
        <v>240</v>
      </c>
      <c r="I269" s="201">
        <f>'Приложение 6'!J254</f>
        <v>991.6</v>
      </c>
      <c r="J269" s="201">
        <f>'Приложение 6'!K254</f>
        <v>898</v>
      </c>
    </row>
    <row r="270" spans="1:10" ht="15.75">
      <c r="A270" s="40" t="s">
        <v>117</v>
      </c>
      <c r="B270" s="41" t="s">
        <v>19</v>
      </c>
      <c r="C270" s="41" t="s">
        <v>11</v>
      </c>
      <c r="D270" s="41" t="s">
        <v>66</v>
      </c>
      <c r="E270" s="42">
        <v>2</v>
      </c>
      <c r="F270" s="41" t="s">
        <v>315</v>
      </c>
      <c r="G270" s="41" t="s">
        <v>377</v>
      </c>
      <c r="H270" s="42">
        <v>850</v>
      </c>
      <c r="I270" s="201">
        <f>'Приложение 6'!J255</f>
        <v>20</v>
      </c>
      <c r="J270" s="201">
        <f>'Приложение 6'!K255</f>
        <v>0.1</v>
      </c>
    </row>
    <row r="271" spans="1:10" ht="15.75">
      <c r="A271" s="46" t="s">
        <v>450</v>
      </c>
      <c r="B271" s="41" t="s">
        <v>19</v>
      </c>
      <c r="C271" s="41" t="s">
        <v>11</v>
      </c>
      <c r="D271" s="41" t="s">
        <v>66</v>
      </c>
      <c r="E271" s="42">
        <v>5</v>
      </c>
      <c r="F271" s="41" t="s">
        <v>315</v>
      </c>
      <c r="G271" s="41" t="s">
        <v>423</v>
      </c>
      <c r="H271" s="42"/>
      <c r="I271" s="201">
        <f>I272+I274</f>
        <v>9250.5999999999985</v>
      </c>
      <c r="J271" s="201">
        <f>J272+J274</f>
        <v>8999.5</v>
      </c>
    </row>
    <row r="272" spans="1:10" ht="31.5">
      <c r="A272" s="46" t="s">
        <v>76</v>
      </c>
      <c r="B272" s="41" t="s">
        <v>19</v>
      </c>
      <c r="C272" s="41" t="s">
        <v>11</v>
      </c>
      <c r="D272" s="41" t="s">
        <v>66</v>
      </c>
      <c r="E272" s="42">
        <v>5</v>
      </c>
      <c r="F272" s="41" t="s">
        <v>315</v>
      </c>
      <c r="G272" s="41" t="s">
        <v>377</v>
      </c>
      <c r="H272" s="42"/>
      <c r="I272" s="201">
        <f>I273</f>
        <v>9157.7999999999993</v>
      </c>
      <c r="J272" s="201">
        <f>J273</f>
        <v>8906.7999999999993</v>
      </c>
    </row>
    <row r="273" spans="1:10" ht="15.75">
      <c r="A273" s="40" t="s">
        <v>451</v>
      </c>
      <c r="B273" s="41" t="s">
        <v>19</v>
      </c>
      <c r="C273" s="41" t="s">
        <v>11</v>
      </c>
      <c r="D273" s="41" t="s">
        <v>66</v>
      </c>
      <c r="E273" s="42">
        <v>5</v>
      </c>
      <c r="F273" s="41" t="s">
        <v>315</v>
      </c>
      <c r="G273" s="41" t="s">
        <v>377</v>
      </c>
      <c r="H273" s="42">
        <v>620</v>
      </c>
      <c r="I273" s="201">
        <f>'Приложение 6'!J258</f>
        <v>9157.7999999999993</v>
      </c>
      <c r="J273" s="201">
        <f>'Приложение 6'!K258</f>
        <v>8906.7999999999993</v>
      </c>
    </row>
    <row r="274" spans="1:10" ht="94.5">
      <c r="A274" s="40" t="s">
        <v>546</v>
      </c>
      <c r="B274" s="41" t="s">
        <v>19</v>
      </c>
      <c r="C274" s="41" t="s">
        <v>11</v>
      </c>
      <c r="D274" s="41" t="s">
        <v>66</v>
      </c>
      <c r="E274" s="42">
        <v>5</v>
      </c>
      <c r="F274" s="41" t="s">
        <v>315</v>
      </c>
      <c r="G274" s="41" t="s">
        <v>547</v>
      </c>
      <c r="H274" s="42"/>
      <c r="I274" s="201">
        <f>I275</f>
        <v>92.8</v>
      </c>
      <c r="J274" s="201">
        <f>J275</f>
        <v>92.7</v>
      </c>
    </row>
    <row r="275" spans="1:10" ht="31.5">
      <c r="A275" s="40" t="s">
        <v>38</v>
      </c>
      <c r="B275" s="41" t="s">
        <v>19</v>
      </c>
      <c r="C275" s="41" t="s">
        <v>11</v>
      </c>
      <c r="D275" s="41" t="s">
        <v>66</v>
      </c>
      <c r="E275" s="42">
        <v>5</v>
      </c>
      <c r="F275" s="41" t="s">
        <v>315</v>
      </c>
      <c r="G275" s="41" t="s">
        <v>547</v>
      </c>
      <c r="H275" s="42">
        <v>540</v>
      </c>
      <c r="I275" s="201">
        <f>'Приложение 6'!J260</f>
        <v>92.8</v>
      </c>
      <c r="J275" s="201">
        <f>'Приложение 6'!K260</f>
        <v>92.7</v>
      </c>
    </row>
    <row r="276" spans="1:10" ht="63">
      <c r="A276" s="40" t="s">
        <v>132</v>
      </c>
      <c r="B276" s="41" t="s">
        <v>19</v>
      </c>
      <c r="C276" s="41" t="s">
        <v>11</v>
      </c>
      <c r="D276" s="41" t="s">
        <v>18</v>
      </c>
      <c r="E276" s="42">
        <v>0</v>
      </c>
      <c r="F276" s="41" t="s">
        <v>315</v>
      </c>
      <c r="G276" s="41" t="s">
        <v>423</v>
      </c>
      <c r="H276" s="42"/>
      <c r="I276" s="192">
        <f>I277</f>
        <v>67</v>
      </c>
      <c r="J276" s="192">
        <f>J277</f>
        <v>43</v>
      </c>
    </row>
    <row r="277" spans="1:10" ht="31.5">
      <c r="A277" s="40" t="s">
        <v>131</v>
      </c>
      <c r="B277" s="41" t="s">
        <v>19</v>
      </c>
      <c r="C277" s="41" t="s">
        <v>11</v>
      </c>
      <c r="D277" s="41" t="s">
        <v>18</v>
      </c>
      <c r="E277" s="42">
        <v>3</v>
      </c>
      <c r="F277" s="41" t="s">
        <v>315</v>
      </c>
      <c r="G277" s="41" t="s">
        <v>423</v>
      </c>
      <c r="H277" s="42"/>
      <c r="I277" s="192">
        <f>I279+I281</f>
        <v>67</v>
      </c>
      <c r="J277" s="192">
        <f>J279+J281</f>
        <v>43</v>
      </c>
    </row>
    <row r="278" spans="1:10" ht="15.75">
      <c r="A278" s="40" t="s">
        <v>338</v>
      </c>
      <c r="B278" s="41" t="s">
        <v>19</v>
      </c>
      <c r="C278" s="41" t="s">
        <v>11</v>
      </c>
      <c r="D278" s="41" t="s">
        <v>18</v>
      </c>
      <c r="E278" s="42">
        <v>3</v>
      </c>
      <c r="F278" s="41" t="s">
        <v>11</v>
      </c>
      <c r="G278" s="41" t="s">
        <v>423</v>
      </c>
      <c r="H278" s="42"/>
      <c r="I278" s="192">
        <f>I279</f>
        <v>57</v>
      </c>
      <c r="J278" s="192">
        <f>J279</f>
        <v>40.4</v>
      </c>
    </row>
    <row r="279" spans="1:10" ht="47.25">
      <c r="A279" s="46" t="s">
        <v>125</v>
      </c>
      <c r="B279" s="41" t="s">
        <v>19</v>
      </c>
      <c r="C279" s="41" t="s">
        <v>11</v>
      </c>
      <c r="D279" s="41" t="s">
        <v>18</v>
      </c>
      <c r="E279" s="41" t="s">
        <v>130</v>
      </c>
      <c r="F279" s="41" t="s">
        <v>11</v>
      </c>
      <c r="G279" s="41" t="s">
        <v>339</v>
      </c>
      <c r="H279" s="41"/>
      <c r="I279" s="192">
        <f>I280</f>
        <v>57</v>
      </c>
      <c r="J279" s="192">
        <f>J280</f>
        <v>40.4</v>
      </c>
    </row>
    <row r="280" spans="1:10" ht="31.5">
      <c r="A280" s="46" t="s">
        <v>137</v>
      </c>
      <c r="B280" s="41" t="s">
        <v>19</v>
      </c>
      <c r="C280" s="41" t="s">
        <v>11</v>
      </c>
      <c r="D280" s="41" t="s">
        <v>18</v>
      </c>
      <c r="E280" s="41" t="s">
        <v>130</v>
      </c>
      <c r="F280" s="41" t="s">
        <v>11</v>
      </c>
      <c r="G280" s="41" t="s">
        <v>339</v>
      </c>
      <c r="H280" s="41" t="s">
        <v>127</v>
      </c>
      <c r="I280" s="192">
        <f>'Приложение 6'!J265</f>
        <v>57</v>
      </c>
      <c r="J280" s="192">
        <f>'Приложение 6'!K265</f>
        <v>40.4</v>
      </c>
    </row>
    <row r="281" spans="1:10" ht="31.5">
      <c r="A281" s="40" t="s">
        <v>342</v>
      </c>
      <c r="B281" s="41" t="s">
        <v>19</v>
      </c>
      <c r="C281" s="41" t="s">
        <v>11</v>
      </c>
      <c r="D281" s="41" t="s">
        <v>18</v>
      </c>
      <c r="E281" s="42">
        <v>3</v>
      </c>
      <c r="F281" s="41" t="s">
        <v>13</v>
      </c>
      <c r="G281" s="41" t="s">
        <v>423</v>
      </c>
      <c r="H281" s="42"/>
      <c r="I281" s="192">
        <f>I282</f>
        <v>10</v>
      </c>
      <c r="J281" s="192">
        <f>J282</f>
        <v>2.6</v>
      </c>
    </row>
    <row r="282" spans="1:10" ht="47.25">
      <c r="A282" s="46" t="s">
        <v>125</v>
      </c>
      <c r="B282" s="41" t="s">
        <v>19</v>
      </c>
      <c r="C282" s="41" t="s">
        <v>11</v>
      </c>
      <c r="D282" s="41" t="s">
        <v>18</v>
      </c>
      <c r="E282" s="41" t="s">
        <v>130</v>
      </c>
      <c r="F282" s="41" t="s">
        <v>13</v>
      </c>
      <c r="G282" s="41" t="s">
        <v>339</v>
      </c>
      <c r="H282" s="41"/>
      <c r="I282" s="192">
        <f>I283</f>
        <v>10</v>
      </c>
      <c r="J282" s="192">
        <f>J283</f>
        <v>2.6</v>
      </c>
    </row>
    <row r="283" spans="1:10" ht="31.5">
      <c r="A283" s="46" t="s">
        <v>137</v>
      </c>
      <c r="B283" s="41" t="s">
        <v>19</v>
      </c>
      <c r="C283" s="41" t="s">
        <v>11</v>
      </c>
      <c r="D283" s="41" t="s">
        <v>18</v>
      </c>
      <c r="E283" s="41" t="s">
        <v>130</v>
      </c>
      <c r="F283" s="41" t="s">
        <v>13</v>
      </c>
      <c r="G283" s="41" t="s">
        <v>339</v>
      </c>
      <c r="H283" s="41" t="s">
        <v>127</v>
      </c>
      <c r="I283" s="192">
        <f>'Приложение 6'!J268</f>
        <v>10</v>
      </c>
      <c r="J283" s="192">
        <f>'Приложение 6'!K268</f>
        <v>2.6</v>
      </c>
    </row>
    <row r="284" spans="1:10" ht="63">
      <c r="A284" s="40" t="s">
        <v>429</v>
      </c>
      <c r="B284" s="41" t="s">
        <v>19</v>
      </c>
      <c r="C284" s="41" t="s">
        <v>11</v>
      </c>
      <c r="D284" s="41" t="s">
        <v>36</v>
      </c>
      <c r="E284" s="42">
        <v>0</v>
      </c>
      <c r="F284" s="41" t="s">
        <v>315</v>
      </c>
      <c r="G284" s="41" t="s">
        <v>423</v>
      </c>
      <c r="H284" s="42"/>
      <c r="I284" s="192">
        <f t="shared" ref="I284:J286" si="15">I285</f>
        <v>791</v>
      </c>
      <c r="J284" s="192">
        <f t="shared" si="15"/>
        <v>268.3</v>
      </c>
    </row>
    <row r="285" spans="1:10" ht="15.75">
      <c r="A285" s="46" t="s">
        <v>382</v>
      </c>
      <c r="B285" s="41" t="s">
        <v>19</v>
      </c>
      <c r="C285" s="41" t="s">
        <v>11</v>
      </c>
      <c r="D285" s="41" t="s">
        <v>36</v>
      </c>
      <c r="E285" s="41" t="s">
        <v>128</v>
      </c>
      <c r="F285" s="41" t="s">
        <v>11</v>
      </c>
      <c r="G285" s="41" t="s">
        <v>423</v>
      </c>
      <c r="H285" s="41"/>
      <c r="I285" s="192">
        <f t="shared" si="15"/>
        <v>791</v>
      </c>
      <c r="J285" s="192">
        <f t="shared" si="15"/>
        <v>268.3</v>
      </c>
    </row>
    <row r="286" spans="1:10" ht="31.5">
      <c r="A286" s="46" t="s">
        <v>383</v>
      </c>
      <c r="B286" s="41" t="s">
        <v>19</v>
      </c>
      <c r="C286" s="41" t="s">
        <v>11</v>
      </c>
      <c r="D286" s="41" t="s">
        <v>36</v>
      </c>
      <c r="E286" s="41" t="s">
        <v>128</v>
      </c>
      <c r="F286" s="41" t="s">
        <v>11</v>
      </c>
      <c r="G286" s="41" t="s">
        <v>384</v>
      </c>
      <c r="H286" s="41"/>
      <c r="I286" s="192">
        <f t="shared" si="15"/>
        <v>791</v>
      </c>
      <c r="J286" s="192">
        <f t="shared" si="15"/>
        <v>268.3</v>
      </c>
    </row>
    <row r="287" spans="1:10" ht="31.5">
      <c r="A287" s="46" t="s">
        <v>137</v>
      </c>
      <c r="B287" s="41" t="s">
        <v>19</v>
      </c>
      <c r="C287" s="41" t="s">
        <v>11</v>
      </c>
      <c r="D287" s="41" t="s">
        <v>36</v>
      </c>
      <c r="E287" s="41" t="s">
        <v>128</v>
      </c>
      <c r="F287" s="41" t="s">
        <v>11</v>
      </c>
      <c r="G287" s="41" t="s">
        <v>384</v>
      </c>
      <c r="H287" s="41" t="s">
        <v>127</v>
      </c>
      <c r="I287" s="192">
        <f>'Приложение 6'!J272</f>
        <v>791</v>
      </c>
      <c r="J287" s="192">
        <f>'Приложение 6'!K272</f>
        <v>268.3</v>
      </c>
    </row>
    <row r="288" spans="1:10" ht="15.75">
      <c r="A288" s="46" t="s">
        <v>58</v>
      </c>
      <c r="B288" s="41" t="s">
        <v>19</v>
      </c>
      <c r="C288" s="41" t="s">
        <v>11</v>
      </c>
      <c r="D288" s="41" t="s">
        <v>45</v>
      </c>
      <c r="E288" s="42">
        <v>0</v>
      </c>
      <c r="F288" s="41" t="s">
        <v>128</v>
      </c>
      <c r="G288" s="41" t="s">
        <v>423</v>
      </c>
      <c r="H288" s="42"/>
      <c r="I288" s="201">
        <f>I289</f>
        <v>929.8</v>
      </c>
      <c r="J288" s="201">
        <f>J289</f>
        <v>857.59999999999991</v>
      </c>
    </row>
    <row r="289" spans="1:10" ht="15.75">
      <c r="A289" s="46" t="s">
        <v>59</v>
      </c>
      <c r="B289" s="41" t="s">
        <v>19</v>
      </c>
      <c r="C289" s="41" t="s">
        <v>11</v>
      </c>
      <c r="D289" s="41" t="s">
        <v>45</v>
      </c>
      <c r="E289" s="42">
        <v>9</v>
      </c>
      <c r="F289" s="41" t="s">
        <v>128</v>
      </c>
      <c r="G289" s="41" t="s">
        <v>423</v>
      </c>
      <c r="H289" s="42"/>
      <c r="I289" s="201">
        <f>I290+I292+I294</f>
        <v>929.8</v>
      </c>
      <c r="J289" s="201">
        <f>J290+J292+J294</f>
        <v>857.59999999999991</v>
      </c>
    </row>
    <row r="290" spans="1:10" ht="78.75">
      <c r="A290" s="46" t="s">
        <v>40</v>
      </c>
      <c r="B290" s="41" t="s">
        <v>19</v>
      </c>
      <c r="C290" s="41" t="s">
        <v>11</v>
      </c>
      <c r="D290" s="41" t="s">
        <v>45</v>
      </c>
      <c r="E290" s="42">
        <v>9</v>
      </c>
      <c r="F290" s="41" t="s">
        <v>315</v>
      </c>
      <c r="G290" s="41" t="s">
        <v>385</v>
      </c>
      <c r="H290" s="42"/>
      <c r="I290" s="201">
        <f>I291</f>
        <v>382.4</v>
      </c>
      <c r="J290" s="201">
        <f>J291</f>
        <v>354.9</v>
      </c>
    </row>
    <row r="291" spans="1:10" ht="31.5">
      <c r="A291" s="46" t="s">
        <v>386</v>
      </c>
      <c r="B291" s="41" t="s">
        <v>19</v>
      </c>
      <c r="C291" s="41" t="s">
        <v>11</v>
      </c>
      <c r="D291" s="41" t="s">
        <v>45</v>
      </c>
      <c r="E291" s="42">
        <v>9</v>
      </c>
      <c r="F291" s="41" t="s">
        <v>315</v>
      </c>
      <c r="G291" s="41" t="s">
        <v>385</v>
      </c>
      <c r="H291" s="42">
        <v>110</v>
      </c>
      <c r="I291" s="201">
        <f>'Приложение 6'!J276</f>
        <v>382.4</v>
      </c>
      <c r="J291" s="201">
        <f>'Приложение 6'!K276</f>
        <v>354.9</v>
      </c>
    </row>
    <row r="292" spans="1:10" ht="47.25">
      <c r="A292" s="202" t="s">
        <v>387</v>
      </c>
      <c r="B292" s="41" t="s">
        <v>19</v>
      </c>
      <c r="C292" s="41" t="s">
        <v>11</v>
      </c>
      <c r="D292" s="41" t="s">
        <v>45</v>
      </c>
      <c r="E292" s="42">
        <v>9</v>
      </c>
      <c r="F292" s="41" t="s">
        <v>315</v>
      </c>
      <c r="G292" s="41" t="s">
        <v>388</v>
      </c>
      <c r="H292" s="42"/>
      <c r="I292" s="201">
        <f>I293</f>
        <v>32.5</v>
      </c>
      <c r="J292" s="201">
        <f>J293</f>
        <v>32.5</v>
      </c>
    </row>
    <row r="293" spans="1:10" ht="15.75">
      <c r="A293" s="40" t="s">
        <v>115</v>
      </c>
      <c r="B293" s="41" t="s">
        <v>19</v>
      </c>
      <c r="C293" s="41" t="s">
        <v>11</v>
      </c>
      <c r="D293" s="41" t="s">
        <v>45</v>
      </c>
      <c r="E293" s="42">
        <v>9</v>
      </c>
      <c r="F293" s="41" t="s">
        <v>315</v>
      </c>
      <c r="G293" s="41" t="s">
        <v>388</v>
      </c>
      <c r="H293" s="42">
        <v>110</v>
      </c>
      <c r="I293" s="201">
        <f>'Приложение 6'!J278</f>
        <v>32.5</v>
      </c>
      <c r="J293" s="201">
        <f>'Приложение 6'!K278</f>
        <v>32.5</v>
      </c>
    </row>
    <row r="294" spans="1:10" ht="31.5">
      <c r="A294" s="46" t="s">
        <v>421</v>
      </c>
      <c r="B294" s="41" t="s">
        <v>19</v>
      </c>
      <c r="C294" s="41" t="s">
        <v>11</v>
      </c>
      <c r="D294" s="41" t="s">
        <v>45</v>
      </c>
      <c r="E294" s="42">
        <v>9</v>
      </c>
      <c r="F294" s="41" t="s">
        <v>315</v>
      </c>
      <c r="G294" s="41" t="s">
        <v>548</v>
      </c>
      <c r="H294" s="42"/>
      <c r="I294" s="201">
        <f>I295</f>
        <v>514.9</v>
      </c>
      <c r="J294" s="201">
        <f>J295</f>
        <v>470.2</v>
      </c>
    </row>
    <row r="295" spans="1:10" ht="31.5">
      <c r="A295" s="40" t="s">
        <v>451</v>
      </c>
      <c r="B295" s="41" t="s">
        <v>19</v>
      </c>
      <c r="C295" s="41" t="s">
        <v>11</v>
      </c>
      <c r="D295" s="41" t="s">
        <v>45</v>
      </c>
      <c r="E295" s="42">
        <v>9</v>
      </c>
      <c r="F295" s="41" t="s">
        <v>315</v>
      </c>
      <c r="G295" s="41" t="s">
        <v>548</v>
      </c>
      <c r="H295" s="42">
        <v>620</v>
      </c>
      <c r="I295" s="201">
        <f>'Приложение 6'!J280</f>
        <v>514.9</v>
      </c>
      <c r="J295" s="201">
        <f>'Приложение 6'!K280</f>
        <v>470.2</v>
      </c>
    </row>
    <row r="296" spans="1:10" ht="15.75">
      <c r="A296" s="40" t="s">
        <v>33</v>
      </c>
      <c r="B296" s="41" t="s">
        <v>19</v>
      </c>
      <c r="C296" s="41" t="s">
        <v>15</v>
      </c>
      <c r="D296" s="41"/>
      <c r="E296" s="42"/>
      <c r="F296" s="41"/>
      <c r="G296" s="41"/>
      <c r="H296" s="42"/>
      <c r="I296" s="192">
        <f>I297</f>
        <v>709.6</v>
      </c>
      <c r="J296" s="192">
        <f>J297</f>
        <v>706</v>
      </c>
    </row>
    <row r="297" spans="1:10" ht="63">
      <c r="A297" s="46" t="s">
        <v>449</v>
      </c>
      <c r="B297" s="41" t="s">
        <v>19</v>
      </c>
      <c r="C297" s="41" t="s">
        <v>15</v>
      </c>
      <c r="D297" s="41" t="s">
        <v>66</v>
      </c>
      <c r="E297" s="42">
        <v>0</v>
      </c>
      <c r="F297" s="41" t="s">
        <v>315</v>
      </c>
      <c r="G297" s="41" t="s">
        <v>423</v>
      </c>
      <c r="H297" s="42"/>
      <c r="I297" s="192">
        <f>I298</f>
        <v>709.6</v>
      </c>
      <c r="J297" s="192">
        <f>J298</f>
        <v>706</v>
      </c>
    </row>
    <row r="298" spans="1:10" ht="15.75">
      <c r="A298" s="46" t="s">
        <v>82</v>
      </c>
      <c r="B298" s="41" t="s">
        <v>19</v>
      </c>
      <c r="C298" s="41" t="s">
        <v>15</v>
      </c>
      <c r="D298" s="41" t="s">
        <v>66</v>
      </c>
      <c r="E298" s="42">
        <v>3</v>
      </c>
      <c r="F298" s="41" t="s">
        <v>315</v>
      </c>
      <c r="G298" s="41" t="s">
        <v>423</v>
      </c>
      <c r="H298" s="42"/>
      <c r="I298" s="192">
        <f>I299+I301+I303</f>
        <v>709.6</v>
      </c>
      <c r="J298" s="192">
        <f>J299+J301+J303</f>
        <v>706</v>
      </c>
    </row>
    <row r="299" spans="1:10" ht="31.5">
      <c r="A299" s="46" t="s">
        <v>83</v>
      </c>
      <c r="B299" s="41" t="s">
        <v>19</v>
      </c>
      <c r="C299" s="41" t="s">
        <v>15</v>
      </c>
      <c r="D299" s="41" t="s">
        <v>66</v>
      </c>
      <c r="E299" s="42">
        <v>3</v>
      </c>
      <c r="F299" s="41" t="s">
        <v>315</v>
      </c>
      <c r="G299" s="41" t="s">
        <v>389</v>
      </c>
      <c r="H299" s="42"/>
      <c r="I299" s="192">
        <f>I300</f>
        <v>100.1</v>
      </c>
      <c r="J299" s="192">
        <f>J300</f>
        <v>100</v>
      </c>
    </row>
    <row r="300" spans="1:10" ht="15.75">
      <c r="A300" s="46" t="s">
        <v>549</v>
      </c>
      <c r="B300" s="41" t="s">
        <v>19</v>
      </c>
      <c r="C300" s="41" t="s">
        <v>15</v>
      </c>
      <c r="D300" s="41" t="s">
        <v>66</v>
      </c>
      <c r="E300" s="42">
        <v>3</v>
      </c>
      <c r="F300" s="41" t="s">
        <v>315</v>
      </c>
      <c r="G300" s="41" t="s">
        <v>389</v>
      </c>
      <c r="H300" s="42">
        <v>350</v>
      </c>
      <c r="I300" s="192">
        <f>'Приложение 6'!J285</f>
        <v>100.1</v>
      </c>
      <c r="J300" s="192">
        <f>'Приложение 6'!K285</f>
        <v>100</v>
      </c>
    </row>
    <row r="301" spans="1:10" ht="15.75">
      <c r="A301" s="46" t="s">
        <v>84</v>
      </c>
      <c r="B301" s="41" t="s">
        <v>19</v>
      </c>
      <c r="C301" s="41" t="s">
        <v>15</v>
      </c>
      <c r="D301" s="41" t="s">
        <v>66</v>
      </c>
      <c r="E301" s="42">
        <v>3</v>
      </c>
      <c r="F301" s="41" t="s">
        <v>315</v>
      </c>
      <c r="G301" s="41" t="s">
        <v>390</v>
      </c>
      <c r="H301" s="42"/>
      <c r="I301" s="192">
        <f>I302</f>
        <v>311.5</v>
      </c>
      <c r="J301" s="192">
        <f>J302</f>
        <v>311.39999999999998</v>
      </c>
    </row>
    <row r="302" spans="1:10" ht="31.5">
      <c r="A302" s="46" t="s">
        <v>137</v>
      </c>
      <c r="B302" s="41" t="s">
        <v>19</v>
      </c>
      <c r="C302" s="41" t="s">
        <v>15</v>
      </c>
      <c r="D302" s="41" t="s">
        <v>66</v>
      </c>
      <c r="E302" s="42">
        <v>3</v>
      </c>
      <c r="F302" s="41" t="s">
        <v>315</v>
      </c>
      <c r="G302" s="41" t="s">
        <v>390</v>
      </c>
      <c r="H302" s="42">
        <v>240</v>
      </c>
      <c r="I302" s="192">
        <f>'Приложение 6'!J287</f>
        <v>311.5</v>
      </c>
      <c r="J302" s="192">
        <f>'Приложение 6'!K287</f>
        <v>311.39999999999998</v>
      </c>
    </row>
    <row r="303" spans="1:10" ht="15.75">
      <c r="A303" s="46" t="s">
        <v>78</v>
      </c>
      <c r="B303" s="41" t="s">
        <v>19</v>
      </c>
      <c r="C303" s="41" t="s">
        <v>15</v>
      </c>
      <c r="D303" s="41" t="s">
        <v>66</v>
      </c>
      <c r="E303" s="42">
        <v>3</v>
      </c>
      <c r="F303" s="41" t="s">
        <v>315</v>
      </c>
      <c r="G303" s="41" t="s">
        <v>381</v>
      </c>
      <c r="H303" s="42"/>
      <c r="I303" s="192">
        <f>I304</f>
        <v>298</v>
      </c>
      <c r="J303" s="192">
        <f>J304</f>
        <v>294.60000000000002</v>
      </c>
    </row>
    <row r="304" spans="1:10" ht="31.5">
      <c r="A304" s="46" t="s">
        <v>137</v>
      </c>
      <c r="B304" s="41" t="s">
        <v>19</v>
      </c>
      <c r="C304" s="41" t="s">
        <v>15</v>
      </c>
      <c r="D304" s="41" t="s">
        <v>66</v>
      </c>
      <c r="E304" s="42">
        <v>3</v>
      </c>
      <c r="F304" s="41" t="s">
        <v>315</v>
      </c>
      <c r="G304" s="41" t="s">
        <v>381</v>
      </c>
      <c r="H304" s="42">
        <v>240</v>
      </c>
      <c r="I304" s="192">
        <f>'Приложение 6'!J289</f>
        <v>298</v>
      </c>
      <c r="J304" s="192">
        <f>'Приложение 6'!K289</f>
        <v>294.60000000000002</v>
      </c>
    </row>
    <row r="305" spans="1:10" s="7" customFormat="1" ht="15.75">
      <c r="A305" s="213" t="s">
        <v>281</v>
      </c>
      <c r="B305" s="214">
        <v>10</v>
      </c>
      <c r="C305" s="214"/>
      <c r="D305" s="214"/>
      <c r="E305" s="215"/>
      <c r="F305" s="214"/>
      <c r="G305" s="214"/>
      <c r="H305" s="215"/>
      <c r="I305" s="212">
        <f>I306</f>
        <v>577.70000000000005</v>
      </c>
      <c r="J305" s="212">
        <f>J306</f>
        <v>575.4</v>
      </c>
    </row>
    <row r="306" spans="1:10" ht="15.75">
      <c r="A306" s="40" t="s">
        <v>39</v>
      </c>
      <c r="B306" s="41" t="s">
        <v>36</v>
      </c>
      <c r="C306" s="41" t="s">
        <v>12</v>
      </c>
      <c r="D306" s="41"/>
      <c r="E306" s="41"/>
      <c r="F306" s="41"/>
      <c r="G306" s="41"/>
      <c r="H306" s="42"/>
      <c r="I306" s="192">
        <f>I307+I311</f>
        <v>577.70000000000005</v>
      </c>
      <c r="J306" s="192">
        <f>J307+J311</f>
        <v>575.4</v>
      </c>
    </row>
    <row r="307" spans="1:10" ht="31.5">
      <c r="A307" s="46" t="s">
        <v>86</v>
      </c>
      <c r="B307" s="41" t="s">
        <v>36</v>
      </c>
      <c r="C307" s="41" t="s">
        <v>12</v>
      </c>
      <c r="D307" s="41" t="s">
        <v>85</v>
      </c>
      <c r="E307" s="42">
        <v>0</v>
      </c>
      <c r="F307" s="41" t="s">
        <v>315</v>
      </c>
      <c r="G307" s="41" t="s">
        <v>423</v>
      </c>
      <c r="H307" s="42"/>
      <c r="I307" s="192">
        <f t="shared" ref="I307:J309" si="16">I308</f>
        <v>497.7</v>
      </c>
      <c r="J307" s="192">
        <f t="shared" si="16"/>
        <v>495.4</v>
      </c>
    </row>
    <row r="308" spans="1:10" ht="15.75">
      <c r="A308" s="46" t="s">
        <v>87</v>
      </c>
      <c r="B308" s="41" t="s">
        <v>36</v>
      </c>
      <c r="C308" s="41" t="s">
        <v>12</v>
      </c>
      <c r="D308" s="41" t="s">
        <v>85</v>
      </c>
      <c r="E308" s="42">
        <v>3</v>
      </c>
      <c r="F308" s="41" t="s">
        <v>315</v>
      </c>
      <c r="G308" s="41" t="s">
        <v>423</v>
      </c>
      <c r="H308" s="42"/>
      <c r="I308" s="192">
        <f t="shared" si="16"/>
        <v>497.7</v>
      </c>
      <c r="J308" s="192">
        <f t="shared" si="16"/>
        <v>495.4</v>
      </c>
    </row>
    <row r="309" spans="1:10" ht="31.5">
      <c r="A309" s="46" t="s">
        <v>88</v>
      </c>
      <c r="B309" s="41" t="s">
        <v>36</v>
      </c>
      <c r="C309" s="41" t="s">
        <v>12</v>
      </c>
      <c r="D309" s="41" t="s">
        <v>85</v>
      </c>
      <c r="E309" s="42">
        <v>3</v>
      </c>
      <c r="F309" s="41" t="s">
        <v>315</v>
      </c>
      <c r="G309" s="41" t="s">
        <v>391</v>
      </c>
      <c r="H309" s="42"/>
      <c r="I309" s="192">
        <f t="shared" si="16"/>
        <v>497.7</v>
      </c>
      <c r="J309" s="192">
        <f t="shared" si="16"/>
        <v>495.4</v>
      </c>
    </row>
    <row r="310" spans="1:10" ht="47.25">
      <c r="A310" s="46" t="s">
        <v>531</v>
      </c>
      <c r="B310" s="41" t="s">
        <v>36</v>
      </c>
      <c r="C310" s="41" t="s">
        <v>12</v>
      </c>
      <c r="D310" s="41" t="s">
        <v>85</v>
      </c>
      <c r="E310" s="42">
        <v>3</v>
      </c>
      <c r="F310" s="41" t="s">
        <v>315</v>
      </c>
      <c r="G310" s="41" t="s">
        <v>391</v>
      </c>
      <c r="H310" s="42">
        <v>810</v>
      </c>
      <c r="I310" s="192">
        <f>'Приложение 6'!J295</f>
        <v>497.7</v>
      </c>
      <c r="J310" s="192">
        <f>'Приложение 6'!K295</f>
        <v>495.4</v>
      </c>
    </row>
    <row r="311" spans="1:10" ht="15.75">
      <c r="A311" s="46" t="s">
        <v>58</v>
      </c>
      <c r="B311" s="41" t="s">
        <v>36</v>
      </c>
      <c r="C311" s="41" t="s">
        <v>12</v>
      </c>
      <c r="D311" s="41" t="s">
        <v>45</v>
      </c>
      <c r="E311" s="42">
        <v>0</v>
      </c>
      <c r="F311" s="41" t="s">
        <v>315</v>
      </c>
      <c r="G311" s="41" t="s">
        <v>423</v>
      </c>
      <c r="H311" s="42"/>
      <c r="I311" s="192">
        <f t="shared" ref="I311:J313" si="17">I312</f>
        <v>80</v>
      </c>
      <c r="J311" s="192">
        <f t="shared" si="17"/>
        <v>80</v>
      </c>
    </row>
    <row r="312" spans="1:10" ht="15.75">
      <c r="A312" s="46" t="s">
        <v>59</v>
      </c>
      <c r="B312" s="41" t="s">
        <v>36</v>
      </c>
      <c r="C312" s="41" t="s">
        <v>12</v>
      </c>
      <c r="D312" s="41" t="s">
        <v>45</v>
      </c>
      <c r="E312" s="42">
        <v>9</v>
      </c>
      <c r="F312" s="41" t="s">
        <v>315</v>
      </c>
      <c r="G312" s="41" t="s">
        <v>423</v>
      </c>
      <c r="H312" s="42"/>
      <c r="I312" s="192">
        <f t="shared" si="17"/>
        <v>80</v>
      </c>
      <c r="J312" s="192">
        <f t="shared" si="17"/>
        <v>80</v>
      </c>
    </row>
    <row r="313" spans="1:10" ht="15.75">
      <c r="A313" s="46" t="s">
        <v>392</v>
      </c>
      <c r="B313" s="41" t="s">
        <v>36</v>
      </c>
      <c r="C313" s="41" t="s">
        <v>12</v>
      </c>
      <c r="D313" s="41" t="s">
        <v>45</v>
      </c>
      <c r="E313" s="42">
        <v>9</v>
      </c>
      <c r="F313" s="41" t="s">
        <v>315</v>
      </c>
      <c r="G313" s="41" t="s">
        <v>393</v>
      </c>
      <c r="H313" s="42"/>
      <c r="I313" s="201">
        <f t="shared" si="17"/>
        <v>80</v>
      </c>
      <c r="J313" s="201">
        <f t="shared" si="17"/>
        <v>80</v>
      </c>
    </row>
    <row r="314" spans="1:10" ht="31.5">
      <c r="A314" s="46" t="s">
        <v>120</v>
      </c>
      <c r="B314" s="41" t="s">
        <v>36</v>
      </c>
      <c r="C314" s="41" t="s">
        <v>12</v>
      </c>
      <c r="D314" s="41" t="s">
        <v>45</v>
      </c>
      <c r="E314" s="42">
        <v>9</v>
      </c>
      <c r="F314" s="41" t="s">
        <v>315</v>
      </c>
      <c r="G314" s="41" t="s">
        <v>393</v>
      </c>
      <c r="H314" s="42">
        <v>310</v>
      </c>
      <c r="I314" s="201">
        <f>'Приложение 6'!J299</f>
        <v>80</v>
      </c>
      <c r="J314" s="201">
        <f>'Приложение 6'!K299</f>
        <v>80</v>
      </c>
    </row>
    <row r="315" spans="1:10" s="7" customFormat="1" ht="15.75">
      <c r="A315" s="213" t="s">
        <v>282</v>
      </c>
      <c r="B315" s="214">
        <v>11</v>
      </c>
      <c r="C315" s="214"/>
      <c r="D315" s="214"/>
      <c r="E315" s="215"/>
      <c r="F315" s="214"/>
      <c r="G315" s="214"/>
      <c r="H315" s="215"/>
      <c r="I315" s="212">
        <f t="shared" ref="I315:J317" si="18">I316</f>
        <v>3135</v>
      </c>
      <c r="J315" s="212">
        <f t="shared" si="18"/>
        <v>2823.3</v>
      </c>
    </row>
    <row r="316" spans="1:10" ht="31.5">
      <c r="A316" s="40" t="s">
        <v>34</v>
      </c>
      <c r="B316" s="41">
        <v>11</v>
      </c>
      <c r="C316" s="41" t="s">
        <v>16</v>
      </c>
      <c r="D316" s="41"/>
      <c r="E316" s="42"/>
      <c r="F316" s="41"/>
      <c r="G316" s="41"/>
      <c r="H316" s="42"/>
      <c r="I316" s="192">
        <f t="shared" si="18"/>
        <v>3135</v>
      </c>
      <c r="J316" s="192">
        <f t="shared" si="18"/>
        <v>2823.3</v>
      </c>
    </row>
    <row r="317" spans="1:10" ht="63">
      <c r="A317" s="46" t="s">
        <v>449</v>
      </c>
      <c r="B317" s="41" t="s">
        <v>37</v>
      </c>
      <c r="C317" s="41" t="s">
        <v>16</v>
      </c>
      <c r="D317" s="41" t="s">
        <v>66</v>
      </c>
      <c r="E317" s="42">
        <v>0</v>
      </c>
      <c r="F317" s="41" t="s">
        <v>315</v>
      </c>
      <c r="G317" s="41" t="s">
        <v>423</v>
      </c>
      <c r="H317" s="42"/>
      <c r="I317" s="192">
        <f t="shared" si="18"/>
        <v>3135</v>
      </c>
      <c r="J317" s="192">
        <f t="shared" si="18"/>
        <v>2823.3</v>
      </c>
    </row>
    <row r="318" spans="1:10" ht="63">
      <c r="A318" s="46" t="s">
        <v>89</v>
      </c>
      <c r="B318" s="41" t="s">
        <v>37</v>
      </c>
      <c r="C318" s="41" t="s">
        <v>16</v>
      </c>
      <c r="D318" s="41" t="s">
        <v>66</v>
      </c>
      <c r="E318" s="42">
        <v>4</v>
      </c>
      <c r="F318" s="41" t="s">
        <v>315</v>
      </c>
      <c r="G318" s="41" t="s">
        <v>423</v>
      </c>
      <c r="H318" s="42"/>
      <c r="I318" s="192">
        <f>I319+I321+I323</f>
        <v>3135</v>
      </c>
      <c r="J318" s="192">
        <f>J319+J321+J323</f>
        <v>2823.3</v>
      </c>
    </row>
    <row r="319" spans="1:10" ht="15.75">
      <c r="A319" s="46" t="s">
        <v>90</v>
      </c>
      <c r="B319" s="41" t="s">
        <v>37</v>
      </c>
      <c r="C319" s="41" t="s">
        <v>16</v>
      </c>
      <c r="D319" s="41" t="s">
        <v>66</v>
      </c>
      <c r="E319" s="42">
        <v>4</v>
      </c>
      <c r="F319" s="41" t="s">
        <v>315</v>
      </c>
      <c r="G319" s="41" t="s">
        <v>394</v>
      </c>
      <c r="H319" s="42"/>
      <c r="I319" s="192">
        <f>I320</f>
        <v>275</v>
      </c>
      <c r="J319" s="192">
        <f>J320</f>
        <v>275</v>
      </c>
    </row>
    <row r="320" spans="1:10" ht="31.5">
      <c r="A320" s="46" t="s">
        <v>137</v>
      </c>
      <c r="B320" s="41" t="s">
        <v>37</v>
      </c>
      <c r="C320" s="41" t="s">
        <v>16</v>
      </c>
      <c r="D320" s="41" t="s">
        <v>66</v>
      </c>
      <c r="E320" s="42">
        <v>4</v>
      </c>
      <c r="F320" s="41" t="s">
        <v>315</v>
      </c>
      <c r="G320" s="41" t="s">
        <v>394</v>
      </c>
      <c r="H320" s="42">
        <v>240</v>
      </c>
      <c r="I320" s="192">
        <f>'Приложение 6'!J305</f>
        <v>275</v>
      </c>
      <c r="J320" s="192">
        <f>'Приложение 6'!K305</f>
        <v>275</v>
      </c>
    </row>
    <row r="321" spans="1:10" ht="15.75">
      <c r="A321" s="46" t="s">
        <v>74</v>
      </c>
      <c r="B321" s="41" t="s">
        <v>37</v>
      </c>
      <c r="C321" s="41" t="s">
        <v>16</v>
      </c>
      <c r="D321" s="41" t="s">
        <v>66</v>
      </c>
      <c r="E321" s="42">
        <v>4</v>
      </c>
      <c r="F321" s="41" t="s">
        <v>315</v>
      </c>
      <c r="G321" s="41" t="s">
        <v>371</v>
      </c>
      <c r="H321" s="42"/>
      <c r="I321" s="192">
        <f>I322</f>
        <v>1360</v>
      </c>
      <c r="J321" s="192">
        <f>J322</f>
        <v>1048.3</v>
      </c>
    </row>
    <row r="322" spans="1:10" ht="31.5">
      <c r="A322" s="46" t="s">
        <v>137</v>
      </c>
      <c r="B322" s="41" t="s">
        <v>37</v>
      </c>
      <c r="C322" s="41" t="s">
        <v>16</v>
      </c>
      <c r="D322" s="41" t="s">
        <v>66</v>
      </c>
      <c r="E322" s="42">
        <v>4</v>
      </c>
      <c r="F322" s="41" t="s">
        <v>315</v>
      </c>
      <c r="G322" s="41" t="s">
        <v>371</v>
      </c>
      <c r="H322" s="42">
        <v>240</v>
      </c>
      <c r="I322" s="192">
        <f>'Приложение 6'!J307</f>
        <v>1360</v>
      </c>
      <c r="J322" s="192">
        <f>'Приложение 6'!K307</f>
        <v>1048.3</v>
      </c>
    </row>
    <row r="323" spans="1:10" ht="15.75">
      <c r="A323" s="46" t="s">
        <v>91</v>
      </c>
      <c r="B323" s="41" t="s">
        <v>37</v>
      </c>
      <c r="C323" s="41" t="s">
        <v>16</v>
      </c>
      <c r="D323" s="41" t="s">
        <v>66</v>
      </c>
      <c r="E323" s="42">
        <v>4</v>
      </c>
      <c r="F323" s="41" t="s">
        <v>315</v>
      </c>
      <c r="G323" s="41" t="s">
        <v>395</v>
      </c>
      <c r="H323" s="42"/>
      <c r="I323" s="192">
        <f>I324</f>
        <v>1500</v>
      </c>
      <c r="J323" s="192">
        <f>J324</f>
        <v>1500</v>
      </c>
    </row>
    <row r="324" spans="1:10" ht="31.5">
      <c r="A324" s="46" t="s">
        <v>137</v>
      </c>
      <c r="B324" s="41" t="s">
        <v>37</v>
      </c>
      <c r="C324" s="41" t="s">
        <v>16</v>
      </c>
      <c r="D324" s="41" t="s">
        <v>66</v>
      </c>
      <c r="E324" s="42">
        <v>4</v>
      </c>
      <c r="F324" s="41" t="s">
        <v>315</v>
      </c>
      <c r="G324" s="41" t="s">
        <v>395</v>
      </c>
      <c r="H324" s="42">
        <v>240</v>
      </c>
      <c r="I324" s="192">
        <f>'Приложение 6'!J309</f>
        <v>1500</v>
      </c>
      <c r="J324" s="192">
        <f>'Приложение 6'!K309</f>
        <v>1500</v>
      </c>
    </row>
    <row r="325" spans="1:10" s="7" customFormat="1" ht="15.75">
      <c r="A325" s="213" t="s">
        <v>398</v>
      </c>
      <c r="B325" s="214" t="s">
        <v>43</v>
      </c>
      <c r="C325" s="214"/>
      <c r="D325" s="214"/>
      <c r="E325" s="215"/>
      <c r="F325" s="214"/>
      <c r="G325" s="214"/>
      <c r="H325" s="215"/>
      <c r="I325" s="212">
        <f t="shared" ref="I325:J329" si="19">I326</f>
        <v>250</v>
      </c>
      <c r="J325" s="212">
        <f t="shared" si="19"/>
        <v>187.1</v>
      </c>
    </row>
    <row r="326" spans="1:10" ht="15.75">
      <c r="A326" s="40" t="s">
        <v>396</v>
      </c>
      <c r="B326" s="41" t="s">
        <v>43</v>
      </c>
      <c r="C326" s="41" t="s">
        <v>13</v>
      </c>
      <c r="D326" s="41"/>
      <c r="E326" s="42"/>
      <c r="F326" s="41"/>
      <c r="G326" s="41"/>
      <c r="H326" s="42"/>
      <c r="I326" s="192">
        <f t="shared" si="19"/>
        <v>250</v>
      </c>
      <c r="J326" s="192">
        <f t="shared" si="19"/>
        <v>187.1</v>
      </c>
    </row>
    <row r="327" spans="1:10" ht="63">
      <c r="A327" s="46" t="s">
        <v>422</v>
      </c>
      <c r="B327" s="41" t="s">
        <v>43</v>
      </c>
      <c r="C327" s="41" t="s">
        <v>13</v>
      </c>
      <c r="D327" s="41" t="s">
        <v>37</v>
      </c>
      <c r="E327" s="42">
        <v>0</v>
      </c>
      <c r="F327" s="41" t="s">
        <v>315</v>
      </c>
      <c r="G327" s="41" t="s">
        <v>423</v>
      </c>
      <c r="H327" s="42"/>
      <c r="I327" s="192">
        <f t="shared" si="19"/>
        <v>250</v>
      </c>
      <c r="J327" s="192">
        <f t="shared" si="19"/>
        <v>187.1</v>
      </c>
    </row>
    <row r="328" spans="1:10" ht="31.5">
      <c r="A328" s="46" t="s">
        <v>313</v>
      </c>
      <c r="B328" s="41" t="s">
        <v>43</v>
      </c>
      <c r="C328" s="41" t="s">
        <v>13</v>
      </c>
      <c r="D328" s="41" t="s">
        <v>37</v>
      </c>
      <c r="E328" s="41" t="s">
        <v>128</v>
      </c>
      <c r="F328" s="41" t="s">
        <v>11</v>
      </c>
      <c r="G328" s="41" t="s">
        <v>423</v>
      </c>
      <c r="H328" s="41"/>
      <c r="I328" s="212">
        <f t="shared" si="19"/>
        <v>250</v>
      </c>
      <c r="J328" s="192">
        <f t="shared" si="19"/>
        <v>187.1</v>
      </c>
    </row>
    <row r="329" spans="1:10" ht="31.5">
      <c r="A329" s="46" t="s">
        <v>313</v>
      </c>
      <c r="B329" s="41" t="s">
        <v>43</v>
      </c>
      <c r="C329" s="41" t="s">
        <v>13</v>
      </c>
      <c r="D329" s="41" t="s">
        <v>37</v>
      </c>
      <c r="E329" s="41" t="s">
        <v>128</v>
      </c>
      <c r="F329" s="41" t="s">
        <v>11</v>
      </c>
      <c r="G329" s="41" t="s">
        <v>314</v>
      </c>
      <c r="H329" s="41"/>
      <c r="I329" s="192">
        <f t="shared" si="19"/>
        <v>250</v>
      </c>
      <c r="J329" s="192">
        <f t="shared" si="19"/>
        <v>187.1</v>
      </c>
    </row>
    <row r="330" spans="1:10" ht="31.5">
      <c r="A330" s="46" t="s">
        <v>137</v>
      </c>
      <c r="B330" s="41" t="s">
        <v>43</v>
      </c>
      <c r="C330" s="41" t="s">
        <v>13</v>
      </c>
      <c r="D330" s="41" t="s">
        <v>37</v>
      </c>
      <c r="E330" s="41" t="s">
        <v>128</v>
      </c>
      <c r="F330" s="41" t="s">
        <v>11</v>
      </c>
      <c r="G330" s="41" t="s">
        <v>314</v>
      </c>
      <c r="H330" s="41" t="s">
        <v>127</v>
      </c>
      <c r="I330" s="192">
        <f>'Приложение 6'!J315</f>
        <v>250</v>
      </c>
      <c r="J330" s="192">
        <f>'Приложение 6'!K315</f>
        <v>187.1</v>
      </c>
    </row>
    <row r="331" spans="1:10" ht="15.75">
      <c r="A331" s="207" t="s">
        <v>146</v>
      </c>
      <c r="B331" s="209"/>
      <c r="C331" s="208"/>
      <c r="D331" s="209"/>
      <c r="E331" s="208"/>
      <c r="F331" s="209"/>
      <c r="G331" s="210"/>
      <c r="H331" s="210"/>
      <c r="I331" s="211">
        <f>I12+I124+I130+I156+I181+I251+I263+I305+I315+I325</f>
        <v>121959.3</v>
      </c>
      <c r="J331" s="211">
        <f>J12+J124+J130+J156+J181+J251+J263+J305+J315+J325</f>
        <v>91294.8</v>
      </c>
    </row>
  </sheetData>
  <mergeCells count="2">
    <mergeCell ref="D11:G11"/>
    <mergeCell ref="A9:J9"/>
  </mergeCells>
  <phoneticPr fontId="2" type="noConversion"/>
  <pageMargins left="0.62992125984251968" right="0.31496062992125984" top="0.31496062992125984" bottom="0.35433070866141736" header="0.27559055118110237" footer="0.31496062992125984"/>
  <pageSetup paperSize="9" scale="75"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pageSetUpPr fitToPage="1"/>
  </sheetPr>
  <dimension ref="A1:AA348"/>
  <sheetViews>
    <sheetView view="pageBreakPreview" topLeftCell="A328" zoomScaleNormal="100" zoomScaleSheetLayoutView="100" workbookViewId="0">
      <selection activeCell="K1" sqref="K1:K5"/>
    </sheetView>
  </sheetViews>
  <sheetFormatPr defaultRowHeight="15"/>
  <cols>
    <col min="1" max="1" width="62.42578125" style="10" customWidth="1"/>
    <col min="2" max="2" width="4.7109375" style="11" customWidth="1"/>
    <col min="3" max="3" width="4.5703125" style="11" customWidth="1"/>
    <col min="4" max="4" width="3.7109375" style="11" customWidth="1"/>
    <col min="5" max="5" width="3.7109375" style="12" customWidth="1"/>
    <col min="6" max="7" width="3.85546875" style="11" customWidth="1"/>
    <col min="8" max="8" width="6.7109375" style="12" bestFit="1" customWidth="1"/>
    <col min="9" max="9" width="5.28515625" style="11" customWidth="1"/>
    <col min="10" max="10" width="18.28515625" style="21" customWidth="1"/>
    <col min="11" max="11" width="11.85546875" style="10" customWidth="1"/>
    <col min="12" max="16384" width="9.140625" style="10"/>
  </cols>
  <sheetData>
    <row r="1" spans="1:11" ht="15.75">
      <c r="K1" s="245" t="s">
        <v>135</v>
      </c>
    </row>
    <row r="2" spans="1:11" ht="15.75">
      <c r="K2" s="245" t="s">
        <v>242</v>
      </c>
    </row>
    <row r="3" spans="1:11" ht="15.75">
      <c r="K3" s="245" t="s">
        <v>565</v>
      </c>
    </row>
    <row r="4" spans="1:11" ht="15.75">
      <c r="B4" s="57"/>
      <c r="K4" s="245" t="s">
        <v>566</v>
      </c>
    </row>
    <row r="5" spans="1:11" ht="15.75">
      <c r="K5" s="245" t="str">
        <f>'Приложение 1'!D5</f>
        <v>от "___" _____________ 2019 года</v>
      </c>
    </row>
    <row r="6" spans="1:11" ht="12.75" customHeight="1">
      <c r="J6" s="20"/>
    </row>
    <row r="7" spans="1:11" ht="86.25" customHeight="1">
      <c r="A7" s="254" t="s">
        <v>510</v>
      </c>
      <c r="B7" s="256"/>
      <c r="C7" s="256"/>
      <c r="D7" s="256"/>
      <c r="E7" s="256"/>
      <c r="F7" s="256"/>
      <c r="G7" s="256"/>
      <c r="H7" s="256"/>
      <c r="I7" s="256"/>
      <c r="J7" s="256"/>
      <c r="K7" s="256"/>
    </row>
    <row r="8" spans="1:11" ht="15.75">
      <c r="K8" s="70" t="s">
        <v>141</v>
      </c>
    </row>
    <row r="9" spans="1:11" ht="210.75" customHeight="1">
      <c r="A9" s="13" t="s">
        <v>4</v>
      </c>
      <c r="B9" s="8" t="s">
        <v>22</v>
      </c>
      <c r="C9" s="8" t="s">
        <v>5</v>
      </c>
      <c r="D9" s="8" t="s">
        <v>23</v>
      </c>
      <c r="E9" s="255" t="s">
        <v>6</v>
      </c>
      <c r="F9" s="255"/>
      <c r="G9" s="255"/>
      <c r="H9" s="255"/>
      <c r="I9" s="8" t="s">
        <v>7</v>
      </c>
      <c r="J9" s="118" t="s">
        <v>511</v>
      </c>
      <c r="K9" s="118" t="s">
        <v>247</v>
      </c>
    </row>
    <row r="10" spans="1:11" ht="15.75">
      <c r="A10" s="179" t="s">
        <v>31</v>
      </c>
      <c r="B10" s="180">
        <v>871</v>
      </c>
      <c r="C10" s="181" t="s">
        <v>144</v>
      </c>
      <c r="D10" s="181" t="s">
        <v>144</v>
      </c>
      <c r="E10" s="182" t="s">
        <v>144</v>
      </c>
      <c r="F10" s="183" t="s">
        <v>144</v>
      </c>
      <c r="G10" s="184" t="s">
        <v>144</v>
      </c>
      <c r="H10" s="185" t="s">
        <v>144</v>
      </c>
      <c r="I10" s="183"/>
      <c r="J10" s="186">
        <f>J11+J109+J115+J141+J166+J236+J248+J290+J300+J310</f>
        <v>120566.7</v>
      </c>
      <c r="K10" s="186">
        <f>K11+K109+K115+K141+K166+K236+K248+K290+K300+K310</f>
        <v>89936.2</v>
      </c>
    </row>
    <row r="11" spans="1:11" ht="15.75">
      <c r="A11" s="187" t="s">
        <v>273</v>
      </c>
      <c r="B11" s="188">
        <v>871</v>
      </c>
      <c r="C11" s="189">
        <v>1</v>
      </c>
      <c r="D11" s="181"/>
      <c r="E11" s="182"/>
      <c r="F11" s="183"/>
      <c r="G11" s="184"/>
      <c r="H11" s="185"/>
      <c r="I11" s="183"/>
      <c r="J11" s="190">
        <f>J12+J46+J51+J56</f>
        <v>13564.7</v>
      </c>
      <c r="K11" s="190">
        <f>K12+K46+K51+K56</f>
        <v>11515.9</v>
      </c>
    </row>
    <row r="12" spans="1:11" ht="47.25">
      <c r="A12" s="40" t="s">
        <v>14</v>
      </c>
      <c r="B12" s="191">
        <v>871</v>
      </c>
      <c r="C12" s="41" t="s">
        <v>11</v>
      </c>
      <c r="D12" s="42" t="s">
        <v>15</v>
      </c>
      <c r="E12" s="41" t="s">
        <v>10</v>
      </c>
      <c r="F12" s="42"/>
      <c r="G12" s="41"/>
      <c r="H12" s="41"/>
      <c r="I12" s="42" t="s">
        <v>8</v>
      </c>
      <c r="J12" s="192">
        <f>J13+J17+J30</f>
        <v>7958.6</v>
      </c>
      <c r="K12" s="192">
        <f>K13+K17+K30</f>
        <v>7435.7000000000007</v>
      </c>
    </row>
    <row r="13" spans="1:11" ht="47.25">
      <c r="A13" s="40" t="s">
        <v>422</v>
      </c>
      <c r="B13" s="191">
        <v>871</v>
      </c>
      <c r="C13" s="41" t="s">
        <v>11</v>
      </c>
      <c r="D13" s="41" t="s">
        <v>15</v>
      </c>
      <c r="E13" s="41" t="s">
        <v>37</v>
      </c>
      <c r="F13" s="42">
        <v>0</v>
      </c>
      <c r="G13" s="41" t="s">
        <v>315</v>
      </c>
      <c r="H13" s="41" t="s">
        <v>423</v>
      </c>
      <c r="I13" s="42"/>
      <c r="J13" s="192">
        <f t="shared" ref="J13:K15" si="0">J14</f>
        <v>100</v>
      </c>
      <c r="K13" s="192">
        <f t="shared" si="0"/>
        <v>80</v>
      </c>
    </row>
    <row r="14" spans="1:11" ht="31.5">
      <c r="A14" s="46" t="s">
        <v>313</v>
      </c>
      <c r="B14" s="42">
        <v>871</v>
      </c>
      <c r="C14" s="41" t="s">
        <v>11</v>
      </c>
      <c r="D14" s="41" t="s">
        <v>15</v>
      </c>
      <c r="E14" s="41" t="s">
        <v>37</v>
      </c>
      <c r="F14" s="41" t="s">
        <v>128</v>
      </c>
      <c r="G14" s="41" t="s">
        <v>11</v>
      </c>
      <c r="H14" s="41" t="s">
        <v>423</v>
      </c>
      <c r="I14" s="41"/>
      <c r="J14" s="192">
        <f t="shared" si="0"/>
        <v>100</v>
      </c>
      <c r="K14" s="192">
        <f t="shared" si="0"/>
        <v>80</v>
      </c>
    </row>
    <row r="15" spans="1:11" ht="31.5">
      <c r="A15" s="46" t="s">
        <v>313</v>
      </c>
      <c r="B15" s="42">
        <v>871</v>
      </c>
      <c r="C15" s="41" t="s">
        <v>11</v>
      </c>
      <c r="D15" s="41" t="s">
        <v>15</v>
      </c>
      <c r="E15" s="41" t="s">
        <v>37</v>
      </c>
      <c r="F15" s="41" t="s">
        <v>128</v>
      </c>
      <c r="G15" s="41" t="s">
        <v>11</v>
      </c>
      <c r="H15" s="41" t="s">
        <v>314</v>
      </c>
      <c r="I15" s="41"/>
      <c r="J15" s="192">
        <f t="shared" si="0"/>
        <v>100</v>
      </c>
      <c r="K15" s="192">
        <f t="shared" si="0"/>
        <v>80</v>
      </c>
    </row>
    <row r="16" spans="1:11" ht="31.5">
      <c r="A16" s="46" t="s">
        <v>137</v>
      </c>
      <c r="B16" s="42">
        <v>871</v>
      </c>
      <c r="C16" s="41" t="s">
        <v>11</v>
      </c>
      <c r="D16" s="41" t="s">
        <v>15</v>
      </c>
      <c r="E16" s="41" t="s">
        <v>37</v>
      </c>
      <c r="F16" s="41" t="s">
        <v>128</v>
      </c>
      <c r="G16" s="41" t="s">
        <v>11</v>
      </c>
      <c r="H16" s="41" t="s">
        <v>314</v>
      </c>
      <c r="I16" s="41" t="s">
        <v>127</v>
      </c>
      <c r="J16" s="192">
        <v>100</v>
      </c>
      <c r="K16" s="192">
        <v>80</v>
      </c>
    </row>
    <row r="17" spans="1:27" ht="15.75">
      <c r="A17" s="40" t="s">
        <v>108</v>
      </c>
      <c r="B17" s="42">
        <v>871</v>
      </c>
      <c r="C17" s="41" t="s">
        <v>11</v>
      </c>
      <c r="D17" s="42" t="s">
        <v>15</v>
      </c>
      <c r="E17" s="41">
        <v>92</v>
      </c>
      <c r="F17" s="42">
        <v>0</v>
      </c>
      <c r="G17" s="41" t="s">
        <v>315</v>
      </c>
      <c r="H17" s="41" t="s">
        <v>423</v>
      </c>
      <c r="I17" s="42"/>
      <c r="J17" s="192">
        <f>J18+J21</f>
        <v>7187.9000000000005</v>
      </c>
      <c r="K17" s="192">
        <f>K18+K21</f>
        <v>6772.6</v>
      </c>
    </row>
    <row r="18" spans="1:27" ht="15.75">
      <c r="A18" s="193" t="s">
        <v>27</v>
      </c>
      <c r="B18" s="42">
        <v>871</v>
      </c>
      <c r="C18" s="41" t="s">
        <v>11</v>
      </c>
      <c r="D18" s="42" t="s">
        <v>15</v>
      </c>
      <c r="E18" s="41">
        <v>92</v>
      </c>
      <c r="F18" s="42">
        <v>1</v>
      </c>
      <c r="G18" s="41" t="s">
        <v>315</v>
      </c>
      <c r="H18" s="41" t="s">
        <v>423</v>
      </c>
      <c r="I18" s="42"/>
      <c r="J18" s="192">
        <f>J19</f>
        <v>885</v>
      </c>
      <c r="K18" s="192">
        <f>K19</f>
        <v>884.8</v>
      </c>
    </row>
    <row r="19" spans="1:27" ht="63">
      <c r="A19" s="193" t="s">
        <v>51</v>
      </c>
      <c r="B19" s="42">
        <v>871</v>
      </c>
      <c r="C19" s="41" t="s">
        <v>11</v>
      </c>
      <c r="D19" s="42" t="s">
        <v>15</v>
      </c>
      <c r="E19" s="41">
        <v>92</v>
      </c>
      <c r="F19" s="42">
        <v>1</v>
      </c>
      <c r="G19" s="41" t="s">
        <v>315</v>
      </c>
      <c r="H19" s="41" t="s">
        <v>316</v>
      </c>
      <c r="I19" s="42"/>
      <c r="J19" s="192">
        <f>J20</f>
        <v>885</v>
      </c>
      <c r="K19" s="192">
        <f>K20</f>
        <v>884.8</v>
      </c>
    </row>
    <row r="20" spans="1:27" ht="15.75">
      <c r="A20" s="40" t="s">
        <v>116</v>
      </c>
      <c r="B20" s="42">
        <v>871</v>
      </c>
      <c r="C20" s="41" t="s">
        <v>11</v>
      </c>
      <c r="D20" s="42" t="s">
        <v>15</v>
      </c>
      <c r="E20" s="41">
        <v>92</v>
      </c>
      <c r="F20" s="42">
        <v>1</v>
      </c>
      <c r="G20" s="41" t="s">
        <v>315</v>
      </c>
      <c r="H20" s="41" t="s">
        <v>316</v>
      </c>
      <c r="I20" s="42">
        <v>120</v>
      </c>
      <c r="J20" s="192">
        <f>764.5+120.5</f>
        <v>885</v>
      </c>
      <c r="K20" s="192">
        <v>884.8</v>
      </c>
    </row>
    <row r="21" spans="1:27" ht="15.75">
      <c r="A21" s="46" t="s">
        <v>106</v>
      </c>
      <c r="B21" s="42">
        <v>871</v>
      </c>
      <c r="C21" s="41" t="s">
        <v>11</v>
      </c>
      <c r="D21" s="42" t="s">
        <v>15</v>
      </c>
      <c r="E21" s="41">
        <v>92</v>
      </c>
      <c r="F21" s="42">
        <v>2</v>
      </c>
      <c r="G21" s="41" t="s">
        <v>315</v>
      </c>
      <c r="H21" s="41" t="s">
        <v>423</v>
      </c>
      <c r="I21" s="42"/>
      <c r="J21" s="192">
        <f>J22+J24+J28</f>
        <v>6302.9000000000005</v>
      </c>
      <c r="K21" s="192">
        <f>K22+K24+K28</f>
        <v>5887.8</v>
      </c>
    </row>
    <row r="22" spans="1:27" s="18" customFormat="1" ht="63">
      <c r="A22" s="46" t="s">
        <v>51</v>
      </c>
      <c r="B22" s="42">
        <v>871</v>
      </c>
      <c r="C22" s="41" t="s">
        <v>11</v>
      </c>
      <c r="D22" s="42" t="s">
        <v>15</v>
      </c>
      <c r="E22" s="41">
        <v>92</v>
      </c>
      <c r="F22" s="42">
        <v>2</v>
      </c>
      <c r="G22" s="41" t="s">
        <v>315</v>
      </c>
      <c r="H22" s="41" t="s">
        <v>316</v>
      </c>
      <c r="I22" s="42"/>
      <c r="J22" s="192">
        <f>J23</f>
        <v>5632.7000000000007</v>
      </c>
      <c r="K22" s="192">
        <f>K23</f>
        <v>5261.1</v>
      </c>
      <c r="L22" s="10"/>
      <c r="M22" s="10"/>
      <c r="N22" s="10"/>
      <c r="O22" s="10"/>
      <c r="P22" s="10"/>
      <c r="Q22" s="10"/>
      <c r="R22" s="10"/>
      <c r="S22" s="10"/>
      <c r="T22" s="10"/>
      <c r="U22" s="10"/>
      <c r="V22" s="10"/>
      <c r="W22" s="10"/>
      <c r="X22" s="10"/>
      <c r="Y22" s="10"/>
      <c r="Z22" s="10"/>
      <c r="AA22" s="10"/>
    </row>
    <row r="23" spans="1:27" ht="15.75">
      <c r="A23" s="40" t="s">
        <v>116</v>
      </c>
      <c r="B23" s="42">
        <v>871</v>
      </c>
      <c r="C23" s="41" t="s">
        <v>11</v>
      </c>
      <c r="D23" s="42" t="s">
        <v>15</v>
      </c>
      <c r="E23" s="41">
        <v>92</v>
      </c>
      <c r="F23" s="42">
        <v>2</v>
      </c>
      <c r="G23" s="41" t="s">
        <v>315</v>
      </c>
      <c r="H23" s="41" t="s">
        <v>316</v>
      </c>
      <c r="I23" s="42">
        <v>120</v>
      </c>
      <c r="J23" s="192">
        <f>6018.3+2.1+25-412.7</f>
        <v>5632.7000000000007</v>
      </c>
      <c r="K23" s="192">
        <v>5261.1</v>
      </c>
    </row>
    <row r="24" spans="1:27" s="18" customFormat="1" ht="63">
      <c r="A24" s="46" t="s">
        <v>52</v>
      </c>
      <c r="B24" s="42">
        <v>871</v>
      </c>
      <c r="C24" s="41" t="s">
        <v>11</v>
      </c>
      <c r="D24" s="42" t="s">
        <v>15</v>
      </c>
      <c r="E24" s="41">
        <v>92</v>
      </c>
      <c r="F24" s="42">
        <v>2</v>
      </c>
      <c r="G24" s="41" t="s">
        <v>315</v>
      </c>
      <c r="H24" s="41" t="s">
        <v>317</v>
      </c>
      <c r="I24" s="42"/>
      <c r="J24" s="192">
        <f>SUM(J25:J27)</f>
        <v>391.2000000000001</v>
      </c>
      <c r="K24" s="192">
        <f>SUM(K25:K27)</f>
        <v>347.7</v>
      </c>
      <c r="L24" s="10"/>
      <c r="M24" s="10"/>
      <c r="N24" s="10"/>
      <c r="O24" s="10"/>
      <c r="P24" s="10"/>
      <c r="Q24" s="10"/>
      <c r="R24" s="10"/>
      <c r="S24" s="10"/>
      <c r="T24" s="10"/>
      <c r="U24" s="10"/>
      <c r="V24" s="10"/>
      <c r="W24" s="10"/>
      <c r="X24" s="10"/>
      <c r="Y24" s="10"/>
      <c r="Z24" s="10"/>
      <c r="AA24" s="10"/>
    </row>
    <row r="25" spans="1:27" s="14" customFormat="1" ht="15.75">
      <c r="A25" s="40" t="s">
        <v>116</v>
      </c>
      <c r="B25" s="42">
        <v>871</v>
      </c>
      <c r="C25" s="41" t="s">
        <v>11</v>
      </c>
      <c r="D25" s="42" t="s">
        <v>15</v>
      </c>
      <c r="E25" s="41">
        <v>92</v>
      </c>
      <c r="F25" s="42">
        <v>2</v>
      </c>
      <c r="G25" s="41" t="s">
        <v>315</v>
      </c>
      <c r="H25" s="41" t="s">
        <v>317</v>
      </c>
      <c r="I25" s="42">
        <v>120</v>
      </c>
      <c r="J25" s="192">
        <f>18+1.3</f>
        <v>19.3</v>
      </c>
      <c r="K25" s="192">
        <v>19.2</v>
      </c>
    </row>
    <row r="26" spans="1:27" s="14" customFormat="1" ht="31.5">
      <c r="A26" s="46" t="s">
        <v>137</v>
      </c>
      <c r="B26" s="42">
        <v>871</v>
      </c>
      <c r="C26" s="41" t="s">
        <v>11</v>
      </c>
      <c r="D26" s="42" t="s">
        <v>15</v>
      </c>
      <c r="E26" s="41">
        <v>92</v>
      </c>
      <c r="F26" s="42">
        <v>2</v>
      </c>
      <c r="G26" s="41" t="s">
        <v>315</v>
      </c>
      <c r="H26" s="41" t="s">
        <v>317</v>
      </c>
      <c r="I26" s="42">
        <v>240</v>
      </c>
      <c r="J26" s="192">
        <f>703.7+63.7-250-53.6-4.7-131</f>
        <v>328.10000000000008</v>
      </c>
      <c r="K26" s="192">
        <v>284.89999999999998</v>
      </c>
    </row>
    <row r="27" spans="1:27" s="18" customFormat="1" ht="15.75">
      <c r="A27" s="46" t="s">
        <v>117</v>
      </c>
      <c r="B27" s="42">
        <v>871</v>
      </c>
      <c r="C27" s="41" t="s">
        <v>11</v>
      </c>
      <c r="D27" s="42" t="s">
        <v>15</v>
      </c>
      <c r="E27" s="41">
        <v>92</v>
      </c>
      <c r="F27" s="42">
        <v>2</v>
      </c>
      <c r="G27" s="41" t="s">
        <v>315</v>
      </c>
      <c r="H27" s="41" t="s">
        <v>317</v>
      </c>
      <c r="I27" s="42">
        <v>850</v>
      </c>
      <c r="J27" s="192">
        <f>102-50-8.2</f>
        <v>43.8</v>
      </c>
      <c r="K27" s="192">
        <v>43.6</v>
      </c>
      <c r="L27" s="10"/>
      <c r="M27" s="10"/>
      <c r="N27" s="10"/>
      <c r="O27" s="10"/>
      <c r="P27" s="10"/>
      <c r="Q27" s="10"/>
      <c r="R27" s="10"/>
      <c r="S27" s="10"/>
      <c r="T27" s="10"/>
      <c r="U27" s="10"/>
      <c r="V27" s="10"/>
      <c r="W27" s="10"/>
      <c r="X27" s="10"/>
      <c r="Y27" s="10"/>
      <c r="Z27" s="10"/>
      <c r="AA27" s="10"/>
    </row>
    <row r="28" spans="1:27" ht="157.5">
      <c r="A28" s="46" t="s">
        <v>512</v>
      </c>
      <c r="B28" s="42">
        <v>871</v>
      </c>
      <c r="C28" s="41" t="s">
        <v>11</v>
      </c>
      <c r="D28" s="42" t="s">
        <v>15</v>
      </c>
      <c r="E28" s="41" t="s">
        <v>513</v>
      </c>
      <c r="F28" s="42">
        <v>2</v>
      </c>
      <c r="G28" s="41" t="s">
        <v>315</v>
      </c>
      <c r="H28" s="41" t="s">
        <v>514</v>
      </c>
      <c r="I28" s="42"/>
      <c r="J28" s="192">
        <f>J29</f>
        <v>279</v>
      </c>
      <c r="K28" s="192">
        <f>K29</f>
        <v>279</v>
      </c>
    </row>
    <row r="29" spans="1:27" ht="15.75">
      <c r="A29" s="40" t="s">
        <v>116</v>
      </c>
      <c r="B29" s="42">
        <v>871</v>
      </c>
      <c r="C29" s="41" t="s">
        <v>11</v>
      </c>
      <c r="D29" s="42" t="s">
        <v>15</v>
      </c>
      <c r="E29" s="41">
        <v>92</v>
      </c>
      <c r="F29" s="42">
        <v>2</v>
      </c>
      <c r="G29" s="41" t="s">
        <v>315</v>
      </c>
      <c r="H29" s="41" t="s">
        <v>514</v>
      </c>
      <c r="I29" s="42">
        <v>120</v>
      </c>
      <c r="J29" s="192">
        <f>279</f>
        <v>279</v>
      </c>
      <c r="K29" s="192">
        <v>279</v>
      </c>
    </row>
    <row r="30" spans="1:27" s="18" customFormat="1" ht="15.75">
      <c r="A30" s="46" t="s">
        <v>92</v>
      </c>
      <c r="B30" s="42">
        <v>871</v>
      </c>
      <c r="C30" s="41" t="s">
        <v>11</v>
      </c>
      <c r="D30" s="42" t="s">
        <v>15</v>
      </c>
      <c r="E30" s="41">
        <v>97</v>
      </c>
      <c r="F30" s="42">
        <v>0</v>
      </c>
      <c r="G30" s="41" t="s">
        <v>315</v>
      </c>
      <c r="H30" s="41" t="s">
        <v>423</v>
      </c>
      <c r="I30" s="42"/>
      <c r="J30" s="192">
        <f>J31</f>
        <v>670.69999999999993</v>
      </c>
      <c r="K30" s="192">
        <f>K31</f>
        <v>583.1</v>
      </c>
      <c r="L30" s="10"/>
      <c r="M30" s="10"/>
      <c r="N30" s="10"/>
      <c r="O30" s="10"/>
      <c r="P30" s="10"/>
      <c r="Q30" s="10"/>
      <c r="R30" s="10"/>
      <c r="S30" s="10"/>
      <c r="T30" s="10"/>
      <c r="U30" s="10"/>
      <c r="V30" s="10"/>
      <c r="W30" s="10"/>
      <c r="X30" s="10"/>
      <c r="Y30" s="10"/>
      <c r="Z30" s="10"/>
      <c r="AA30" s="10"/>
    </row>
    <row r="31" spans="1:27" s="18" customFormat="1" ht="63">
      <c r="A31" s="46" t="s">
        <v>53</v>
      </c>
      <c r="B31" s="42">
        <v>871</v>
      </c>
      <c r="C31" s="41" t="s">
        <v>11</v>
      </c>
      <c r="D31" s="42" t="s">
        <v>15</v>
      </c>
      <c r="E31" s="41">
        <v>97</v>
      </c>
      <c r="F31" s="42">
        <v>2</v>
      </c>
      <c r="G31" s="41" t="s">
        <v>315</v>
      </c>
      <c r="H31" s="41" t="s">
        <v>423</v>
      </c>
      <c r="I31" s="42"/>
      <c r="J31" s="192">
        <f>J32+J34+J36+J38+J40+J42+J44</f>
        <v>670.69999999999993</v>
      </c>
      <c r="K31" s="192">
        <f>K32+K34+K36+K38+K40+K42+K44</f>
        <v>583.1</v>
      </c>
      <c r="L31" s="10"/>
      <c r="M31" s="10"/>
      <c r="N31" s="10"/>
      <c r="O31" s="10"/>
      <c r="P31" s="10"/>
      <c r="Q31" s="10"/>
      <c r="R31" s="10"/>
      <c r="S31" s="10"/>
      <c r="T31" s="10"/>
      <c r="U31" s="10"/>
      <c r="V31" s="10"/>
      <c r="W31" s="10"/>
      <c r="X31" s="10"/>
      <c r="Y31" s="10"/>
      <c r="Z31" s="10"/>
      <c r="AA31" s="10"/>
    </row>
    <row r="32" spans="1:27" s="18" customFormat="1" ht="47.25">
      <c r="A32" s="46" t="s">
        <v>318</v>
      </c>
      <c r="B32" s="41" t="s">
        <v>24</v>
      </c>
      <c r="C32" s="41" t="s">
        <v>11</v>
      </c>
      <c r="D32" s="41" t="s">
        <v>15</v>
      </c>
      <c r="E32" s="41" t="s">
        <v>61</v>
      </c>
      <c r="F32" s="42">
        <v>2</v>
      </c>
      <c r="G32" s="41" t="s">
        <v>315</v>
      </c>
      <c r="H32" s="41" t="s">
        <v>319</v>
      </c>
      <c r="I32" s="42"/>
      <c r="J32" s="192">
        <f>J33</f>
        <v>182.5</v>
      </c>
      <c r="K32" s="192">
        <f>K33</f>
        <v>94.9</v>
      </c>
      <c r="L32" s="10"/>
      <c r="M32" s="10"/>
      <c r="N32" s="10"/>
      <c r="O32" s="10"/>
      <c r="P32" s="10"/>
      <c r="Q32" s="10"/>
      <c r="R32" s="10"/>
      <c r="S32" s="10"/>
      <c r="T32" s="10"/>
      <c r="U32" s="10"/>
      <c r="V32" s="10"/>
      <c r="W32" s="10"/>
      <c r="X32" s="10"/>
      <c r="Y32" s="10"/>
      <c r="Z32" s="10"/>
      <c r="AA32" s="10"/>
    </row>
    <row r="33" spans="1:27" ht="15.75">
      <c r="A33" s="194" t="s">
        <v>38</v>
      </c>
      <c r="B33" s="41" t="s">
        <v>24</v>
      </c>
      <c r="C33" s="41" t="s">
        <v>11</v>
      </c>
      <c r="D33" s="41" t="s">
        <v>15</v>
      </c>
      <c r="E33" s="41" t="s">
        <v>61</v>
      </c>
      <c r="F33" s="42">
        <v>2</v>
      </c>
      <c r="G33" s="41" t="s">
        <v>315</v>
      </c>
      <c r="H33" s="41" t="s">
        <v>319</v>
      </c>
      <c r="I33" s="42">
        <v>540</v>
      </c>
      <c r="J33" s="192">
        <f>173.4+9.1</f>
        <v>182.5</v>
      </c>
      <c r="K33" s="192">
        <v>94.9</v>
      </c>
    </row>
    <row r="34" spans="1:27" ht="110.25">
      <c r="A34" s="46" t="s">
        <v>320</v>
      </c>
      <c r="B34" s="42">
        <v>871</v>
      </c>
      <c r="C34" s="41" t="s">
        <v>11</v>
      </c>
      <c r="D34" s="42" t="s">
        <v>15</v>
      </c>
      <c r="E34" s="41">
        <v>97</v>
      </c>
      <c r="F34" s="42">
        <v>2</v>
      </c>
      <c r="G34" s="41" t="s">
        <v>315</v>
      </c>
      <c r="H34" s="41" t="s">
        <v>321</v>
      </c>
      <c r="I34" s="42"/>
      <c r="J34" s="192">
        <f>J35</f>
        <v>85.4</v>
      </c>
      <c r="K34" s="192">
        <f>K35</f>
        <v>85.4</v>
      </c>
    </row>
    <row r="35" spans="1:27" ht="15.75">
      <c r="A35" s="194" t="s">
        <v>38</v>
      </c>
      <c r="B35" s="42">
        <v>871</v>
      </c>
      <c r="C35" s="41" t="s">
        <v>11</v>
      </c>
      <c r="D35" s="42" t="s">
        <v>15</v>
      </c>
      <c r="E35" s="41">
        <v>97</v>
      </c>
      <c r="F35" s="42">
        <v>2</v>
      </c>
      <c r="G35" s="41" t="s">
        <v>315</v>
      </c>
      <c r="H35" s="41" t="s">
        <v>321</v>
      </c>
      <c r="I35" s="42">
        <v>540</v>
      </c>
      <c r="J35" s="192">
        <f>76.9+8.5</f>
        <v>85.4</v>
      </c>
      <c r="K35" s="192">
        <v>85.4</v>
      </c>
    </row>
    <row r="36" spans="1:27" ht="78.75">
      <c r="A36" s="46" t="s">
        <v>322</v>
      </c>
      <c r="B36" s="42">
        <v>871</v>
      </c>
      <c r="C36" s="41" t="s">
        <v>11</v>
      </c>
      <c r="D36" s="42" t="s">
        <v>15</v>
      </c>
      <c r="E36" s="41">
        <v>97</v>
      </c>
      <c r="F36" s="42">
        <v>2</v>
      </c>
      <c r="G36" s="41" t="s">
        <v>315</v>
      </c>
      <c r="H36" s="41" t="s">
        <v>323</v>
      </c>
      <c r="I36" s="42"/>
      <c r="J36" s="192">
        <f>J37</f>
        <v>68.3</v>
      </c>
      <c r="K36" s="192">
        <f>K37</f>
        <v>68.3</v>
      </c>
    </row>
    <row r="37" spans="1:27" ht="15.75">
      <c r="A37" s="194" t="s">
        <v>38</v>
      </c>
      <c r="B37" s="42">
        <v>871</v>
      </c>
      <c r="C37" s="41" t="s">
        <v>11</v>
      </c>
      <c r="D37" s="42" t="s">
        <v>15</v>
      </c>
      <c r="E37" s="41">
        <v>97</v>
      </c>
      <c r="F37" s="42">
        <v>2</v>
      </c>
      <c r="G37" s="41" t="s">
        <v>315</v>
      </c>
      <c r="H37" s="41" t="s">
        <v>323</v>
      </c>
      <c r="I37" s="42">
        <v>540</v>
      </c>
      <c r="J37" s="192">
        <f>61.5+6.8</f>
        <v>68.3</v>
      </c>
      <c r="K37" s="192">
        <v>68.3</v>
      </c>
    </row>
    <row r="38" spans="1:27" ht="362.25">
      <c r="A38" s="195" t="s">
        <v>515</v>
      </c>
      <c r="B38" s="196" t="s">
        <v>24</v>
      </c>
      <c r="C38" s="196" t="s">
        <v>11</v>
      </c>
      <c r="D38" s="196" t="s">
        <v>15</v>
      </c>
      <c r="E38" s="196" t="s">
        <v>61</v>
      </c>
      <c r="F38" s="197">
        <v>2</v>
      </c>
      <c r="G38" s="196" t="s">
        <v>315</v>
      </c>
      <c r="H38" s="196" t="s">
        <v>516</v>
      </c>
      <c r="I38" s="197"/>
      <c r="J38" s="198">
        <f>J39</f>
        <v>4.7</v>
      </c>
      <c r="K38" s="198">
        <f>K39</f>
        <v>4.7</v>
      </c>
    </row>
    <row r="39" spans="1:27" ht="15.75">
      <c r="A39" s="199" t="s">
        <v>38</v>
      </c>
      <c r="B39" s="196" t="s">
        <v>24</v>
      </c>
      <c r="C39" s="196" t="s">
        <v>11</v>
      </c>
      <c r="D39" s="196" t="s">
        <v>15</v>
      </c>
      <c r="E39" s="196" t="s">
        <v>61</v>
      </c>
      <c r="F39" s="197">
        <v>2</v>
      </c>
      <c r="G39" s="196" t="s">
        <v>315</v>
      </c>
      <c r="H39" s="196" t="s">
        <v>516</v>
      </c>
      <c r="I39" s="197">
        <v>540</v>
      </c>
      <c r="J39" s="198">
        <v>4.7</v>
      </c>
      <c r="K39" s="198">
        <v>4.7</v>
      </c>
    </row>
    <row r="40" spans="1:27" s="18" customFormat="1" ht="31.5">
      <c r="A40" s="46" t="s">
        <v>55</v>
      </c>
      <c r="B40" s="42">
        <v>871</v>
      </c>
      <c r="C40" s="41" t="s">
        <v>11</v>
      </c>
      <c r="D40" s="42" t="s">
        <v>15</v>
      </c>
      <c r="E40" s="41">
        <v>97</v>
      </c>
      <c r="F40" s="42">
        <v>2</v>
      </c>
      <c r="G40" s="41" t="s">
        <v>315</v>
      </c>
      <c r="H40" s="41" t="s">
        <v>324</v>
      </c>
      <c r="I40" s="42"/>
      <c r="J40" s="192">
        <f>J41</f>
        <v>108.9</v>
      </c>
      <c r="K40" s="192">
        <f>K41</f>
        <v>108.9</v>
      </c>
      <c r="L40" s="10"/>
      <c r="M40" s="10"/>
      <c r="N40" s="10"/>
      <c r="O40" s="10"/>
      <c r="P40" s="10"/>
      <c r="Q40" s="10"/>
      <c r="R40" s="10"/>
      <c r="S40" s="10"/>
      <c r="T40" s="10"/>
      <c r="U40" s="10"/>
      <c r="V40" s="10"/>
      <c r="W40" s="10"/>
      <c r="X40" s="10"/>
      <c r="Y40" s="10"/>
      <c r="Z40" s="10"/>
      <c r="AA40" s="10"/>
    </row>
    <row r="41" spans="1:27" ht="15.75">
      <c r="A41" s="194" t="s">
        <v>38</v>
      </c>
      <c r="B41" s="42">
        <v>871</v>
      </c>
      <c r="C41" s="41" t="s">
        <v>11</v>
      </c>
      <c r="D41" s="42" t="s">
        <v>15</v>
      </c>
      <c r="E41" s="41">
        <v>97</v>
      </c>
      <c r="F41" s="42">
        <v>2</v>
      </c>
      <c r="G41" s="41" t="s">
        <v>315</v>
      </c>
      <c r="H41" s="41" t="s">
        <v>324</v>
      </c>
      <c r="I41" s="42">
        <v>540</v>
      </c>
      <c r="J41" s="192">
        <f>98.2+10.7</f>
        <v>108.9</v>
      </c>
      <c r="K41" s="192">
        <v>108.9</v>
      </c>
    </row>
    <row r="42" spans="1:27" s="18" customFormat="1" ht="47.25">
      <c r="A42" s="46" t="s">
        <v>325</v>
      </c>
      <c r="B42" s="42">
        <v>871</v>
      </c>
      <c r="C42" s="41" t="s">
        <v>11</v>
      </c>
      <c r="D42" s="42" t="s">
        <v>15</v>
      </c>
      <c r="E42" s="41">
        <v>97</v>
      </c>
      <c r="F42" s="42">
        <v>2</v>
      </c>
      <c r="G42" s="41" t="s">
        <v>315</v>
      </c>
      <c r="H42" s="41" t="s">
        <v>326</v>
      </c>
      <c r="I42" s="42"/>
      <c r="J42" s="192">
        <f>J43</f>
        <v>85.4</v>
      </c>
      <c r="K42" s="192">
        <f>K43</f>
        <v>85.4</v>
      </c>
      <c r="L42" s="10"/>
      <c r="M42" s="10"/>
      <c r="N42" s="10"/>
      <c r="O42" s="10"/>
      <c r="P42" s="10"/>
      <c r="Q42" s="10"/>
      <c r="R42" s="10"/>
      <c r="S42" s="10"/>
      <c r="T42" s="10"/>
      <c r="U42" s="10"/>
      <c r="V42" s="10"/>
      <c r="W42" s="10"/>
      <c r="X42" s="10"/>
      <c r="Y42" s="10"/>
      <c r="Z42" s="10"/>
      <c r="AA42" s="10"/>
    </row>
    <row r="43" spans="1:27" ht="15.75">
      <c r="A43" s="194" t="s">
        <v>38</v>
      </c>
      <c r="B43" s="42">
        <v>871</v>
      </c>
      <c r="C43" s="41" t="s">
        <v>11</v>
      </c>
      <c r="D43" s="42" t="s">
        <v>15</v>
      </c>
      <c r="E43" s="41">
        <v>97</v>
      </c>
      <c r="F43" s="42">
        <v>2</v>
      </c>
      <c r="G43" s="41" t="s">
        <v>315</v>
      </c>
      <c r="H43" s="41" t="s">
        <v>326</v>
      </c>
      <c r="I43" s="42">
        <v>540</v>
      </c>
      <c r="J43" s="192">
        <f>77+8.4</f>
        <v>85.4</v>
      </c>
      <c r="K43" s="192">
        <v>85.4</v>
      </c>
    </row>
    <row r="44" spans="1:27" s="18" customFormat="1" ht="63">
      <c r="A44" s="46" t="s">
        <v>327</v>
      </c>
      <c r="B44" s="42">
        <v>871</v>
      </c>
      <c r="C44" s="41" t="s">
        <v>11</v>
      </c>
      <c r="D44" s="42" t="s">
        <v>15</v>
      </c>
      <c r="E44" s="41">
        <v>97</v>
      </c>
      <c r="F44" s="42">
        <v>2</v>
      </c>
      <c r="G44" s="41" t="s">
        <v>315</v>
      </c>
      <c r="H44" s="41" t="s">
        <v>328</v>
      </c>
      <c r="I44" s="42"/>
      <c r="J44" s="192">
        <f>J45</f>
        <v>135.5</v>
      </c>
      <c r="K44" s="192">
        <f>K45</f>
        <v>135.5</v>
      </c>
      <c r="L44" s="10"/>
      <c r="M44" s="10"/>
      <c r="N44" s="10"/>
      <c r="O44" s="10"/>
      <c r="P44" s="10"/>
      <c r="Q44" s="10"/>
      <c r="R44" s="10"/>
      <c r="S44" s="10"/>
      <c r="T44" s="10"/>
      <c r="U44" s="10"/>
      <c r="V44" s="10"/>
      <c r="W44" s="10"/>
      <c r="X44" s="10"/>
      <c r="Y44" s="10"/>
      <c r="Z44" s="10"/>
      <c r="AA44" s="10"/>
    </row>
    <row r="45" spans="1:27" ht="15.75">
      <c r="A45" s="194" t="s">
        <v>38</v>
      </c>
      <c r="B45" s="42">
        <v>871</v>
      </c>
      <c r="C45" s="41" t="s">
        <v>11</v>
      </c>
      <c r="D45" s="42" t="s">
        <v>15</v>
      </c>
      <c r="E45" s="41">
        <v>97</v>
      </c>
      <c r="F45" s="42">
        <v>2</v>
      </c>
      <c r="G45" s="41" t="s">
        <v>315</v>
      </c>
      <c r="H45" s="41" t="s">
        <v>328</v>
      </c>
      <c r="I45" s="42">
        <v>540</v>
      </c>
      <c r="J45" s="192">
        <f>122.2+13.3</f>
        <v>135.5</v>
      </c>
      <c r="K45" s="192">
        <v>135.5</v>
      </c>
    </row>
    <row r="46" spans="1:27" s="18" customFormat="1" ht="47.25">
      <c r="A46" s="46" t="s">
        <v>329</v>
      </c>
      <c r="B46" s="41">
        <v>871</v>
      </c>
      <c r="C46" s="41" t="s">
        <v>11</v>
      </c>
      <c r="D46" s="41" t="s">
        <v>66</v>
      </c>
      <c r="E46" s="41"/>
      <c r="F46" s="41"/>
      <c r="G46" s="41"/>
      <c r="H46" s="41"/>
      <c r="I46" s="41"/>
      <c r="J46" s="192">
        <f t="shared" ref="J46:K49" si="1">J47</f>
        <v>158.19999999999999</v>
      </c>
      <c r="K46" s="192">
        <f t="shared" si="1"/>
        <v>158.19999999999999</v>
      </c>
      <c r="L46" s="10"/>
      <c r="M46" s="10"/>
      <c r="N46" s="10"/>
      <c r="O46" s="10"/>
      <c r="P46" s="10"/>
      <c r="Q46" s="10"/>
      <c r="R46" s="10"/>
      <c r="S46" s="10"/>
      <c r="T46" s="10"/>
      <c r="U46" s="10"/>
      <c r="V46" s="10"/>
      <c r="W46" s="10"/>
      <c r="X46" s="10"/>
      <c r="Y46" s="10"/>
      <c r="Z46" s="10"/>
      <c r="AA46" s="10"/>
    </row>
    <row r="47" spans="1:27" ht="15.75">
      <c r="A47" s="46" t="s">
        <v>38</v>
      </c>
      <c r="B47" s="41" t="s">
        <v>24</v>
      </c>
      <c r="C47" s="41" t="s">
        <v>11</v>
      </c>
      <c r="D47" s="41" t="s">
        <v>66</v>
      </c>
      <c r="E47" s="41" t="s">
        <v>61</v>
      </c>
      <c r="F47" s="41" t="s">
        <v>128</v>
      </c>
      <c r="G47" s="41" t="s">
        <v>315</v>
      </c>
      <c r="H47" s="41" t="s">
        <v>423</v>
      </c>
      <c r="I47" s="41"/>
      <c r="J47" s="192">
        <f t="shared" si="1"/>
        <v>158.19999999999999</v>
      </c>
      <c r="K47" s="192">
        <f t="shared" si="1"/>
        <v>158.19999999999999</v>
      </c>
    </row>
    <row r="48" spans="1:27" ht="63">
      <c r="A48" s="46" t="s">
        <v>53</v>
      </c>
      <c r="B48" s="41" t="s">
        <v>24</v>
      </c>
      <c r="C48" s="41" t="s">
        <v>11</v>
      </c>
      <c r="D48" s="41" t="s">
        <v>66</v>
      </c>
      <c r="E48" s="41" t="s">
        <v>61</v>
      </c>
      <c r="F48" s="41" t="s">
        <v>330</v>
      </c>
      <c r="G48" s="41" t="s">
        <v>315</v>
      </c>
      <c r="H48" s="41" t="s">
        <v>423</v>
      </c>
      <c r="I48" s="41"/>
      <c r="J48" s="192">
        <f t="shared" si="1"/>
        <v>158.19999999999999</v>
      </c>
      <c r="K48" s="192">
        <f t="shared" si="1"/>
        <v>158.19999999999999</v>
      </c>
    </row>
    <row r="49" spans="1:27" ht="31.5">
      <c r="A49" s="46" t="s">
        <v>331</v>
      </c>
      <c r="B49" s="42">
        <v>871</v>
      </c>
      <c r="C49" s="41" t="s">
        <v>11</v>
      </c>
      <c r="D49" s="41" t="s">
        <v>66</v>
      </c>
      <c r="E49" s="41">
        <v>97</v>
      </c>
      <c r="F49" s="42">
        <v>2</v>
      </c>
      <c r="G49" s="41" t="s">
        <v>315</v>
      </c>
      <c r="H49" s="41" t="s">
        <v>332</v>
      </c>
      <c r="I49" s="42"/>
      <c r="J49" s="192">
        <f t="shared" si="1"/>
        <v>158.19999999999999</v>
      </c>
      <c r="K49" s="192">
        <f t="shared" si="1"/>
        <v>158.19999999999999</v>
      </c>
    </row>
    <row r="50" spans="1:27" ht="15.75">
      <c r="A50" s="194" t="s">
        <v>38</v>
      </c>
      <c r="B50" s="42">
        <v>871</v>
      </c>
      <c r="C50" s="41" t="s">
        <v>11</v>
      </c>
      <c r="D50" s="41" t="s">
        <v>66</v>
      </c>
      <c r="E50" s="41">
        <v>97</v>
      </c>
      <c r="F50" s="42">
        <v>2</v>
      </c>
      <c r="G50" s="41" t="s">
        <v>315</v>
      </c>
      <c r="H50" s="41" t="s">
        <v>332</v>
      </c>
      <c r="I50" s="42">
        <v>540</v>
      </c>
      <c r="J50" s="192">
        <v>158.19999999999999</v>
      </c>
      <c r="K50" s="192">
        <v>158.19999999999999</v>
      </c>
    </row>
    <row r="51" spans="1:27" ht="15.75">
      <c r="A51" s="40" t="s">
        <v>0</v>
      </c>
      <c r="B51" s="42">
        <v>871</v>
      </c>
      <c r="C51" s="41" t="s">
        <v>11</v>
      </c>
      <c r="D51" s="42">
        <v>11</v>
      </c>
      <c r="E51" s="41"/>
      <c r="F51" s="42"/>
      <c r="G51" s="41"/>
      <c r="H51" s="41"/>
      <c r="I51" s="42" t="s">
        <v>8</v>
      </c>
      <c r="J51" s="201">
        <f t="shared" ref="J51:K54" si="2">J52</f>
        <v>275.60000000000002</v>
      </c>
      <c r="K51" s="201">
        <f t="shared" si="2"/>
        <v>0</v>
      </c>
    </row>
    <row r="52" spans="1:27" s="18" customFormat="1" ht="15.75">
      <c r="A52" s="40" t="s">
        <v>0</v>
      </c>
      <c r="B52" s="42">
        <v>871</v>
      </c>
      <c r="C52" s="41" t="s">
        <v>11</v>
      </c>
      <c r="D52" s="42">
        <v>11</v>
      </c>
      <c r="E52" s="41">
        <v>94</v>
      </c>
      <c r="F52" s="42">
        <v>0</v>
      </c>
      <c r="G52" s="41" t="s">
        <v>315</v>
      </c>
      <c r="H52" s="41" t="s">
        <v>423</v>
      </c>
      <c r="I52" s="42"/>
      <c r="J52" s="201">
        <f t="shared" si="2"/>
        <v>275.60000000000002</v>
      </c>
      <c r="K52" s="201">
        <f t="shared" si="2"/>
        <v>0</v>
      </c>
      <c r="L52" s="10"/>
      <c r="M52" s="10"/>
      <c r="N52" s="10"/>
      <c r="O52" s="10"/>
      <c r="P52" s="10"/>
      <c r="Q52" s="10"/>
      <c r="R52" s="10"/>
      <c r="S52" s="10"/>
      <c r="T52" s="10"/>
      <c r="U52" s="10"/>
      <c r="V52" s="10"/>
      <c r="W52" s="10"/>
      <c r="X52" s="10"/>
      <c r="Y52" s="10"/>
      <c r="Z52" s="10"/>
      <c r="AA52" s="10"/>
    </row>
    <row r="53" spans="1:27" ht="15.75">
      <c r="A53" s="40" t="s">
        <v>1</v>
      </c>
      <c r="B53" s="42">
        <v>871</v>
      </c>
      <c r="C53" s="41" t="s">
        <v>11</v>
      </c>
      <c r="D53" s="42">
        <v>11</v>
      </c>
      <c r="E53" s="41">
        <v>94</v>
      </c>
      <c r="F53" s="42">
        <v>1</v>
      </c>
      <c r="G53" s="41" t="s">
        <v>315</v>
      </c>
      <c r="H53" s="41" t="s">
        <v>423</v>
      </c>
      <c r="I53" s="42" t="s">
        <v>8</v>
      </c>
      <c r="J53" s="201">
        <f t="shared" si="2"/>
        <v>275.60000000000002</v>
      </c>
      <c r="K53" s="201">
        <f t="shared" si="2"/>
        <v>0</v>
      </c>
    </row>
    <row r="54" spans="1:27" s="18" customFormat="1" ht="15.75">
      <c r="A54" s="40" t="s">
        <v>1</v>
      </c>
      <c r="B54" s="42">
        <v>871</v>
      </c>
      <c r="C54" s="41" t="s">
        <v>11</v>
      </c>
      <c r="D54" s="42">
        <v>11</v>
      </c>
      <c r="E54" s="41">
        <v>94</v>
      </c>
      <c r="F54" s="42">
        <v>1</v>
      </c>
      <c r="G54" s="41" t="s">
        <v>315</v>
      </c>
      <c r="H54" s="41" t="s">
        <v>333</v>
      </c>
      <c r="I54" s="42"/>
      <c r="J54" s="201">
        <f t="shared" si="2"/>
        <v>275.60000000000002</v>
      </c>
      <c r="K54" s="201">
        <f t="shared" si="2"/>
        <v>0</v>
      </c>
      <c r="L54" s="10"/>
      <c r="M54" s="10"/>
      <c r="N54" s="10"/>
      <c r="O54" s="10"/>
      <c r="P54" s="10"/>
      <c r="Q54" s="10"/>
      <c r="R54" s="10"/>
      <c r="S54" s="10"/>
      <c r="T54" s="10"/>
      <c r="U54" s="10"/>
      <c r="V54" s="10"/>
      <c r="W54" s="10"/>
      <c r="X54" s="10"/>
      <c r="Y54" s="10"/>
      <c r="Z54" s="10"/>
      <c r="AA54" s="10"/>
    </row>
    <row r="55" spans="1:27" ht="15.75">
      <c r="A55" s="40" t="s">
        <v>119</v>
      </c>
      <c r="B55" s="42">
        <v>871</v>
      </c>
      <c r="C55" s="41" t="s">
        <v>11</v>
      </c>
      <c r="D55" s="42">
        <v>11</v>
      </c>
      <c r="E55" s="41">
        <v>94</v>
      </c>
      <c r="F55" s="42">
        <v>1</v>
      </c>
      <c r="G55" s="41" t="s">
        <v>315</v>
      </c>
      <c r="H55" s="41" t="s">
        <v>333</v>
      </c>
      <c r="I55" s="41" t="s">
        <v>118</v>
      </c>
      <c r="J55" s="201">
        <f>300-24.4</f>
        <v>275.60000000000002</v>
      </c>
      <c r="K55" s="201">
        <v>0</v>
      </c>
    </row>
    <row r="56" spans="1:27" s="18" customFormat="1" ht="15.75">
      <c r="A56" s="40" t="s">
        <v>21</v>
      </c>
      <c r="B56" s="42">
        <v>871</v>
      </c>
      <c r="C56" s="41" t="s">
        <v>11</v>
      </c>
      <c r="D56" s="42">
        <v>13</v>
      </c>
      <c r="E56" s="41"/>
      <c r="F56" s="42"/>
      <c r="G56" s="41"/>
      <c r="H56" s="41"/>
      <c r="I56" s="42"/>
      <c r="J56" s="192">
        <f>J57+J68+J88+J92+J96+J103</f>
        <v>5172.3</v>
      </c>
      <c r="K56" s="192">
        <f>K57+K68+K88+K92+K96+K103</f>
        <v>3921.9999999999995</v>
      </c>
      <c r="L56" s="10"/>
      <c r="M56" s="10"/>
      <c r="N56" s="10"/>
      <c r="O56" s="10"/>
      <c r="P56" s="10"/>
      <c r="Q56" s="10"/>
      <c r="R56" s="10"/>
      <c r="S56" s="10"/>
      <c r="T56" s="10"/>
      <c r="U56" s="10"/>
      <c r="V56" s="10"/>
      <c r="W56" s="10"/>
      <c r="X56" s="10"/>
      <c r="Y56" s="10"/>
      <c r="Z56" s="10"/>
      <c r="AA56" s="10"/>
    </row>
    <row r="57" spans="1:27" ht="47.25">
      <c r="A57" s="40" t="s">
        <v>57</v>
      </c>
      <c r="B57" s="42">
        <v>871</v>
      </c>
      <c r="C57" s="41" t="s">
        <v>11</v>
      </c>
      <c r="D57" s="42">
        <v>13</v>
      </c>
      <c r="E57" s="41" t="s">
        <v>11</v>
      </c>
      <c r="F57" s="42">
        <v>0</v>
      </c>
      <c r="G57" s="41" t="s">
        <v>315</v>
      </c>
      <c r="H57" s="41" t="s">
        <v>423</v>
      </c>
      <c r="I57" s="42"/>
      <c r="J57" s="192">
        <f>J58+J65</f>
        <v>3782.2999999999997</v>
      </c>
      <c r="K57" s="192">
        <f>K58+K65</f>
        <v>2590.1</v>
      </c>
    </row>
    <row r="58" spans="1:27" s="9" customFormat="1" ht="15.75">
      <c r="A58" s="40" t="s">
        <v>95</v>
      </c>
      <c r="B58" s="42">
        <v>871</v>
      </c>
      <c r="C58" s="41" t="s">
        <v>11</v>
      </c>
      <c r="D58" s="42">
        <v>13</v>
      </c>
      <c r="E58" s="41" t="s">
        <v>11</v>
      </c>
      <c r="F58" s="42">
        <v>1</v>
      </c>
      <c r="G58" s="41" t="s">
        <v>315</v>
      </c>
      <c r="H58" s="41" t="s">
        <v>423</v>
      </c>
      <c r="I58" s="42"/>
      <c r="J58" s="192">
        <f>J59+J61+J63</f>
        <v>3429.1</v>
      </c>
      <c r="K58" s="192">
        <f>K59+K61+K63</f>
        <v>2264.6999999999998</v>
      </c>
    </row>
    <row r="59" spans="1:27" ht="15.75">
      <c r="A59" s="46" t="s">
        <v>56</v>
      </c>
      <c r="B59" s="42">
        <v>871</v>
      </c>
      <c r="C59" s="41" t="s">
        <v>11</v>
      </c>
      <c r="D59" s="42">
        <v>13</v>
      </c>
      <c r="E59" s="41" t="s">
        <v>11</v>
      </c>
      <c r="F59" s="42">
        <v>1</v>
      </c>
      <c r="G59" s="41" t="s">
        <v>315</v>
      </c>
      <c r="H59" s="41" t="s">
        <v>334</v>
      </c>
      <c r="I59" s="42"/>
      <c r="J59" s="192">
        <f>J60</f>
        <v>3121.2</v>
      </c>
      <c r="K59" s="192">
        <f>K60</f>
        <v>2042.5</v>
      </c>
    </row>
    <row r="60" spans="1:27" s="18" customFormat="1" ht="31.5">
      <c r="A60" s="46" t="s">
        <v>137</v>
      </c>
      <c r="B60" s="42">
        <v>871</v>
      </c>
      <c r="C60" s="41" t="s">
        <v>11</v>
      </c>
      <c r="D60" s="42">
        <v>13</v>
      </c>
      <c r="E60" s="41" t="s">
        <v>11</v>
      </c>
      <c r="F60" s="42">
        <v>1</v>
      </c>
      <c r="G60" s="41" t="s">
        <v>315</v>
      </c>
      <c r="H60" s="41" t="s">
        <v>334</v>
      </c>
      <c r="I60" s="42">
        <v>240</v>
      </c>
      <c r="J60" s="192">
        <f>1133.9+147.3+1800+40</f>
        <v>3121.2</v>
      </c>
      <c r="K60" s="192">
        <v>2042.5</v>
      </c>
      <c r="L60" s="10"/>
      <c r="M60" s="10"/>
      <c r="N60" s="10"/>
      <c r="O60" s="10"/>
      <c r="P60" s="10"/>
      <c r="Q60" s="10"/>
      <c r="R60" s="10"/>
      <c r="S60" s="10"/>
      <c r="T60" s="10"/>
      <c r="U60" s="10"/>
      <c r="V60" s="10"/>
      <c r="W60" s="10"/>
      <c r="X60" s="10"/>
      <c r="Y60" s="10"/>
      <c r="Z60" s="10"/>
      <c r="AA60" s="10"/>
    </row>
    <row r="61" spans="1:27" s="18" customFormat="1" ht="31.5">
      <c r="A61" s="46" t="s">
        <v>335</v>
      </c>
      <c r="B61" s="42">
        <v>871</v>
      </c>
      <c r="C61" s="41" t="s">
        <v>11</v>
      </c>
      <c r="D61" s="42">
        <v>13</v>
      </c>
      <c r="E61" s="41" t="s">
        <v>11</v>
      </c>
      <c r="F61" s="42">
        <v>1</v>
      </c>
      <c r="G61" s="41" t="s">
        <v>315</v>
      </c>
      <c r="H61" s="41" t="s">
        <v>336</v>
      </c>
      <c r="I61" s="42"/>
      <c r="J61" s="192">
        <f>J62</f>
        <v>257.3</v>
      </c>
      <c r="K61" s="192">
        <f>K62</f>
        <v>198.7</v>
      </c>
      <c r="L61" s="10"/>
      <c r="M61" s="10"/>
      <c r="N61" s="10"/>
      <c r="O61" s="10"/>
      <c r="P61" s="10"/>
      <c r="Q61" s="10"/>
      <c r="R61" s="10"/>
      <c r="S61" s="10"/>
      <c r="T61" s="10"/>
      <c r="U61" s="10"/>
      <c r="V61" s="10"/>
      <c r="W61" s="10"/>
      <c r="X61" s="10"/>
      <c r="Y61" s="10"/>
      <c r="Z61" s="10"/>
      <c r="AA61" s="10"/>
    </row>
    <row r="62" spans="1:27" s="9" customFormat="1" ht="31.5">
      <c r="A62" s="46" t="s">
        <v>137</v>
      </c>
      <c r="B62" s="42">
        <v>871</v>
      </c>
      <c r="C62" s="41" t="s">
        <v>11</v>
      </c>
      <c r="D62" s="42">
        <v>13</v>
      </c>
      <c r="E62" s="41" t="s">
        <v>11</v>
      </c>
      <c r="F62" s="42">
        <v>1</v>
      </c>
      <c r="G62" s="41" t="s">
        <v>315</v>
      </c>
      <c r="H62" s="41" t="s">
        <v>336</v>
      </c>
      <c r="I62" s="42">
        <v>240</v>
      </c>
      <c r="J62" s="192">
        <f>472.3-200-15</f>
        <v>257.3</v>
      </c>
      <c r="K62" s="192">
        <v>198.7</v>
      </c>
    </row>
    <row r="63" spans="1:27" ht="15.75">
      <c r="A63" s="46" t="s">
        <v>424</v>
      </c>
      <c r="B63" s="42">
        <v>871</v>
      </c>
      <c r="C63" s="41" t="s">
        <v>11</v>
      </c>
      <c r="D63" s="42">
        <v>13</v>
      </c>
      <c r="E63" s="41" t="s">
        <v>11</v>
      </c>
      <c r="F63" s="42">
        <v>1</v>
      </c>
      <c r="G63" s="41" t="s">
        <v>315</v>
      </c>
      <c r="H63" s="41" t="s">
        <v>425</v>
      </c>
      <c r="I63" s="42"/>
      <c r="J63" s="192">
        <f>J64</f>
        <v>50.600000000000023</v>
      </c>
      <c r="K63" s="192">
        <f>K64</f>
        <v>23.5</v>
      </c>
    </row>
    <row r="64" spans="1:27" s="18" customFormat="1" ht="31.5">
      <c r="A64" s="46" t="s">
        <v>137</v>
      </c>
      <c r="B64" s="42">
        <v>871</v>
      </c>
      <c r="C64" s="41" t="s">
        <v>11</v>
      </c>
      <c r="D64" s="42">
        <v>13</v>
      </c>
      <c r="E64" s="41" t="s">
        <v>11</v>
      </c>
      <c r="F64" s="42">
        <v>1</v>
      </c>
      <c r="G64" s="41" t="s">
        <v>315</v>
      </c>
      <c r="H64" s="41" t="s">
        <v>425</v>
      </c>
      <c r="I64" s="42">
        <v>240</v>
      </c>
      <c r="J64" s="192">
        <f>315.6-265</f>
        <v>50.600000000000023</v>
      </c>
      <c r="K64" s="192">
        <v>23.5</v>
      </c>
      <c r="L64" s="10"/>
      <c r="M64" s="10"/>
      <c r="N64" s="10"/>
      <c r="O64" s="10"/>
      <c r="P64" s="10"/>
      <c r="Q64" s="10"/>
      <c r="R64" s="10"/>
      <c r="S64" s="10"/>
      <c r="T64" s="10"/>
      <c r="U64" s="10"/>
      <c r="V64" s="10"/>
      <c r="W64" s="10"/>
      <c r="X64" s="10"/>
      <c r="Y64" s="10"/>
      <c r="Z64" s="10"/>
      <c r="AA64" s="10"/>
    </row>
    <row r="65" spans="1:27" s="18" customFormat="1" ht="31.5">
      <c r="A65" s="46" t="s">
        <v>109</v>
      </c>
      <c r="B65" s="42">
        <v>871</v>
      </c>
      <c r="C65" s="41" t="s">
        <v>11</v>
      </c>
      <c r="D65" s="42">
        <v>13</v>
      </c>
      <c r="E65" s="41" t="s">
        <v>11</v>
      </c>
      <c r="F65" s="42">
        <v>2</v>
      </c>
      <c r="G65" s="41" t="s">
        <v>315</v>
      </c>
      <c r="H65" s="41" t="s">
        <v>423</v>
      </c>
      <c r="I65" s="42"/>
      <c r="J65" s="192">
        <f>J66</f>
        <v>353.2</v>
      </c>
      <c r="K65" s="192">
        <f>K66</f>
        <v>325.39999999999998</v>
      </c>
      <c r="L65" s="10"/>
      <c r="M65" s="10"/>
      <c r="N65" s="10"/>
      <c r="O65" s="10"/>
      <c r="P65" s="10"/>
      <c r="Q65" s="10"/>
      <c r="R65" s="10"/>
      <c r="S65" s="10"/>
      <c r="T65" s="10"/>
      <c r="U65" s="10"/>
      <c r="V65" s="10"/>
      <c r="W65" s="10"/>
      <c r="X65" s="10"/>
      <c r="Y65" s="10"/>
      <c r="Z65" s="10"/>
      <c r="AA65" s="10"/>
    </row>
    <row r="66" spans="1:27" s="9" customFormat="1" ht="31.5">
      <c r="A66" s="46" t="s">
        <v>110</v>
      </c>
      <c r="B66" s="42">
        <v>871</v>
      </c>
      <c r="C66" s="41" t="s">
        <v>11</v>
      </c>
      <c r="D66" s="42">
        <v>13</v>
      </c>
      <c r="E66" s="41" t="s">
        <v>11</v>
      </c>
      <c r="F66" s="42">
        <v>2</v>
      </c>
      <c r="G66" s="41" t="s">
        <v>315</v>
      </c>
      <c r="H66" s="41" t="s">
        <v>337</v>
      </c>
      <c r="I66" s="42"/>
      <c r="J66" s="192">
        <f>J67</f>
        <v>353.2</v>
      </c>
      <c r="K66" s="192">
        <f>K67</f>
        <v>325.39999999999998</v>
      </c>
    </row>
    <row r="67" spans="1:27" s="18" customFormat="1" ht="31.5">
      <c r="A67" s="46" t="s">
        <v>137</v>
      </c>
      <c r="B67" s="42">
        <v>871</v>
      </c>
      <c r="C67" s="41" t="s">
        <v>11</v>
      </c>
      <c r="D67" s="42">
        <v>13</v>
      </c>
      <c r="E67" s="41" t="s">
        <v>11</v>
      </c>
      <c r="F67" s="42">
        <v>2</v>
      </c>
      <c r="G67" s="41" t="s">
        <v>315</v>
      </c>
      <c r="H67" s="41" t="s">
        <v>337</v>
      </c>
      <c r="I67" s="42">
        <v>240</v>
      </c>
      <c r="J67" s="192">
        <f>403.2-50</f>
        <v>353.2</v>
      </c>
      <c r="K67" s="192">
        <v>325.39999999999998</v>
      </c>
      <c r="L67" s="10"/>
      <c r="M67" s="10"/>
      <c r="N67" s="10"/>
      <c r="O67" s="10"/>
      <c r="P67" s="10"/>
      <c r="Q67" s="10"/>
      <c r="R67" s="10"/>
      <c r="S67" s="10"/>
      <c r="T67" s="10"/>
      <c r="U67" s="10"/>
      <c r="V67" s="10"/>
      <c r="W67" s="10"/>
      <c r="X67" s="10"/>
      <c r="Y67" s="10"/>
      <c r="Z67" s="10"/>
      <c r="AA67" s="10"/>
    </row>
    <row r="68" spans="1:27" s="18" customFormat="1" ht="47.25">
      <c r="A68" s="40" t="s">
        <v>132</v>
      </c>
      <c r="B68" s="42">
        <v>871</v>
      </c>
      <c r="C68" s="41" t="s">
        <v>11</v>
      </c>
      <c r="D68" s="42">
        <v>13</v>
      </c>
      <c r="E68" s="41" t="s">
        <v>18</v>
      </c>
      <c r="F68" s="42">
        <v>0</v>
      </c>
      <c r="G68" s="41" t="s">
        <v>315</v>
      </c>
      <c r="H68" s="41" t="s">
        <v>423</v>
      </c>
      <c r="I68" s="42"/>
      <c r="J68" s="192">
        <f>J69</f>
        <v>874.49999999999989</v>
      </c>
      <c r="K68" s="192">
        <f>K69</f>
        <v>841.1</v>
      </c>
      <c r="L68" s="10"/>
      <c r="M68" s="10"/>
      <c r="N68" s="10"/>
      <c r="O68" s="10"/>
      <c r="P68" s="10"/>
      <c r="Q68" s="10"/>
      <c r="R68" s="10"/>
      <c r="S68" s="10"/>
      <c r="T68" s="10"/>
      <c r="U68" s="10"/>
      <c r="V68" s="10"/>
      <c r="W68" s="10"/>
      <c r="X68" s="10"/>
      <c r="Y68" s="10"/>
      <c r="Z68" s="10"/>
      <c r="AA68" s="10"/>
    </row>
    <row r="69" spans="1:27" ht="31.5">
      <c r="A69" s="40" t="s">
        <v>124</v>
      </c>
      <c r="B69" s="42">
        <v>871</v>
      </c>
      <c r="C69" s="41" t="s">
        <v>11</v>
      </c>
      <c r="D69" s="42">
        <v>13</v>
      </c>
      <c r="E69" s="41" t="s">
        <v>18</v>
      </c>
      <c r="F69" s="42">
        <v>1</v>
      </c>
      <c r="G69" s="41" t="s">
        <v>315</v>
      </c>
      <c r="H69" s="41" t="s">
        <v>423</v>
      </c>
      <c r="I69" s="42"/>
      <c r="J69" s="192">
        <f>J70+J73+J76+J79+J82+J85</f>
        <v>874.49999999999989</v>
      </c>
      <c r="K69" s="192">
        <f>K70+K73+K76+K79+K82+K85</f>
        <v>841.1</v>
      </c>
    </row>
    <row r="70" spans="1:27" ht="15.75">
      <c r="A70" s="40" t="s">
        <v>338</v>
      </c>
      <c r="B70" s="42">
        <v>871</v>
      </c>
      <c r="C70" s="41" t="s">
        <v>11</v>
      </c>
      <c r="D70" s="42">
        <v>13</v>
      </c>
      <c r="E70" s="41" t="s">
        <v>18</v>
      </c>
      <c r="F70" s="42">
        <v>1</v>
      </c>
      <c r="G70" s="41" t="s">
        <v>11</v>
      </c>
      <c r="H70" s="41" t="s">
        <v>423</v>
      </c>
      <c r="I70" s="42"/>
      <c r="J70" s="192">
        <f>J71</f>
        <v>225</v>
      </c>
      <c r="K70" s="192">
        <f>K71</f>
        <v>212.2</v>
      </c>
    </row>
    <row r="71" spans="1:27" ht="47.25">
      <c r="A71" s="46" t="s">
        <v>125</v>
      </c>
      <c r="B71" s="42">
        <v>871</v>
      </c>
      <c r="C71" s="41" t="s">
        <v>11</v>
      </c>
      <c r="D71" s="41" t="s">
        <v>123</v>
      </c>
      <c r="E71" s="41" t="s">
        <v>18</v>
      </c>
      <c r="F71" s="41" t="s">
        <v>126</v>
      </c>
      <c r="G71" s="41" t="s">
        <v>11</v>
      </c>
      <c r="H71" s="41" t="s">
        <v>339</v>
      </c>
      <c r="I71" s="41"/>
      <c r="J71" s="192">
        <f>J72</f>
        <v>225</v>
      </c>
      <c r="K71" s="192">
        <f>K72</f>
        <v>212.2</v>
      </c>
    </row>
    <row r="72" spans="1:27" ht="31.5">
      <c r="A72" s="46" t="s">
        <v>137</v>
      </c>
      <c r="B72" s="42">
        <v>871</v>
      </c>
      <c r="C72" s="41" t="s">
        <v>11</v>
      </c>
      <c r="D72" s="41" t="s">
        <v>123</v>
      </c>
      <c r="E72" s="41" t="s">
        <v>18</v>
      </c>
      <c r="F72" s="41" t="s">
        <v>126</v>
      </c>
      <c r="G72" s="41" t="s">
        <v>11</v>
      </c>
      <c r="H72" s="41" t="s">
        <v>339</v>
      </c>
      <c r="I72" s="41" t="s">
        <v>127</v>
      </c>
      <c r="J72" s="192">
        <f>50+150+25</f>
        <v>225</v>
      </c>
      <c r="K72" s="192">
        <v>212.2</v>
      </c>
    </row>
    <row r="73" spans="1:27" ht="31.5">
      <c r="A73" s="40" t="s">
        <v>340</v>
      </c>
      <c r="B73" s="42">
        <v>871</v>
      </c>
      <c r="C73" s="41" t="s">
        <v>11</v>
      </c>
      <c r="D73" s="42">
        <v>13</v>
      </c>
      <c r="E73" s="41" t="s">
        <v>18</v>
      </c>
      <c r="F73" s="42">
        <v>1</v>
      </c>
      <c r="G73" s="41" t="s">
        <v>13</v>
      </c>
      <c r="H73" s="41" t="s">
        <v>423</v>
      </c>
      <c r="I73" s="42"/>
      <c r="J73" s="192">
        <f>J74</f>
        <v>35</v>
      </c>
      <c r="K73" s="192">
        <f>K74</f>
        <v>35</v>
      </c>
    </row>
    <row r="74" spans="1:27" s="18" customFormat="1" ht="47.25">
      <c r="A74" s="46" t="s">
        <v>125</v>
      </c>
      <c r="B74" s="42">
        <v>871</v>
      </c>
      <c r="C74" s="41" t="s">
        <v>11</v>
      </c>
      <c r="D74" s="41" t="s">
        <v>123</v>
      </c>
      <c r="E74" s="41" t="s">
        <v>18</v>
      </c>
      <c r="F74" s="41" t="s">
        <v>126</v>
      </c>
      <c r="G74" s="41" t="s">
        <v>13</v>
      </c>
      <c r="H74" s="41" t="s">
        <v>339</v>
      </c>
      <c r="I74" s="41"/>
      <c r="J74" s="192">
        <f>J75</f>
        <v>35</v>
      </c>
      <c r="K74" s="192">
        <f>K75</f>
        <v>35</v>
      </c>
      <c r="L74" s="10"/>
      <c r="M74" s="10"/>
      <c r="N74" s="10"/>
      <c r="O74" s="10"/>
      <c r="P74" s="10"/>
      <c r="Q74" s="10"/>
      <c r="R74" s="10"/>
      <c r="S74" s="10"/>
      <c r="T74" s="10"/>
      <c r="U74" s="10"/>
      <c r="V74" s="10"/>
      <c r="W74" s="10"/>
      <c r="X74" s="10"/>
      <c r="Y74" s="10"/>
      <c r="Z74" s="10"/>
      <c r="AA74" s="10"/>
    </row>
    <row r="75" spans="1:27" ht="31.5">
      <c r="A75" s="46" t="s">
        <v>137</v>
      </c>
      <c r="B75" s="42">
        <v>871</v>
      </c>
      <c r="C75" s="41" t="s">
        <v>11</v>
      </c>
      <c r="D75" s="41" t="s">
        <v>123</v>
      </c>
      <c r="E75" s="41" t="s">
        <v>18</v>
      </c>
      <c r="F75" s="41" t="s">
        <v>126</v>
      </c>
      <c r="G75" s="41" t="s">
        <v>13</v>
      </c>
      <c r="H75" s="41" t="s">
        <v>339</v>
      </c>
      <c r="I75" s="41" t="s">
        <v>127</v>
      </c>
      <c r="J75" s="192">
        <f>70-35</f>
        <v>35</v>
      </c>
      <c r="K75" s="192">
        <v>35</v>
      </c>
    </row>
    <row r="76" spans="1:27" ht="15.75">
      <c r="A76" s="40" t="s">
        <v>341</v>
      </c>
      <c r="B76" s="42">
        <v>871</v>
      </c>
      <c r="C76" s="41" t="s">
        <v>11</v>
      </c>
      <c r="D76" s="42">
        <v>13</v>
      </c>
      <c r="E76" s="41" t="s">
        <v>18</v>
      </c>
      <c r="F76" s="42">
        <v>1</v>
      </c>
      <c r="G76" s="41" t="s">
        <v>12</v>
      </c>
      <c r="H76" s="41" t="s">
        <v>423</v>
      </c>
      <c r="I76" s="42"/>
      <c r="J76" s="192">
        <f>J77</f>
        <v>474.49999999999989</v>
      </c>
      <c r="K76" s="192">
        <f>K77</f>
        <v>474</v>
      </c>
    </row>
    <row r="77" spans="1:27" ht="47.25">
      <c r="A77" s="46" t="s">
        <v>125</v>
      </c>
      <c r="B77" s="42">
        <v>871</v>
      </c>
      <c r="C77" s="41" t="s">
        <v>11</v>
      </c>
      <c r="D77" s="41" t="s">
        <v>123</v>
      </c>
      <c r="E77" s="41" t="s">
        <v>18</v>
      </c>
      <c r="F77" s="41" t="s">
        <v>126</v>
      </c>
      <c r="G77" s="41" t="s">
        <v>12</v>
      </c>
      <c r="H77" s="41" t="s">
        <v>339</v>
      </c>
      <c r="I77" s="41"/>
      <c r="J77" s="192">
        <f>J78</f>
        <v>474.49999999999989</v>
      </c>
      <c r="K77" s="192">
        <f>K78</f>
        <v>474</v>
      </c>
    </row>
    <row r="78" spans="1:27" ht="31.5">
      <c r="A78" s="46" t="s">
        <v>137</v>
      </c>
      <c r="B78" s="42">
        <v>871</v>
      </c>
      <c r="C78" s="41" t="s">
        <v>11</v>
      </c>
      <c r="D78" s="41" t="s">
        <v>123</v>
      </c>
      <c r="E78" s="41" t="s">
        <v>18</v>
      </c>
      <c r="F78" s="41" t="s">
        <v>126</v>
      </c>
      <c r="G78" s="41" t="s">
        <v>12</v>
      </c>
      <c r="H78" s="41" t="s">
        <v>339</v>
      </c>
      <c r="I78" s="41" t="s">
        <v>127</v>
      </c>
      <c r="J78" s="192">
        <f>627.8-70.7-82.6</f>
        <v>474.49999999999989</v>
      </c>
      <c r="K78" s="192">
        <v>474</v>
      </c>
    </row>
    <row r="79" spans="1:27" ht="15.75">
      <c r="A79" s="40" t="s">
        <v>426</v>
      </c>
      <c r="B79" s="42">
        <v>871</v>
      </c>
      <c r="C79" s="41" t="s">
        <v>11</v>
      </c>
      <c r="D79" s="42">
        <v>13</v>
      </c>
      <c r="E79" s="41" t="s">
        <v>18</v>
      </c>
      <c r="F79" s="42">
        <v>1</v>
      </c>
      <c r="G79" s="41" t="s">
        <v>15</v>
      </c>
      <c r="H79" s="41" t="s">
        <v>423</v>
      </c>
      <c r="I79" s="42"/>
      <c r="J79" s="192">
        <f>J80</f>
        <v>50</v>
      </c>
      <c r="K79" s="192">
        <f>K80</f>
        <v>46</v>
      </c>
    </row>
    <row r="80" spans="1:27" s="18" customFormat="1" ht="47.25">
      <c r="A80" s="46" t="s">
        <v>125</v>
      </c>
      <c r="B80" s="42">
        <v>871</v>
      </c>
      <c r="C80" s="41" t="s">
        <v>11</v>
      </c>
      <c r="D80" s="41" t="s">
        <v>123</v>
      </c>
      <c r="E80" s="41" t="s">
        <v>18</v>
      </c>
      <c r="F80" s="41" t="s">
        <v>126</v>
      </c>
      <c r="G80" s="41" t="s">
        <v>15</v>
      </c>
      <c r="H80" s="41" t="s">
        <v>339</v>
      </c>
      <c r="I80" s="41"/>
      <c r="J80" s="192">
        <f>J81</f>
        <v>50</v>
      </c>
      <c r="K80" s="192">
        <f>K81</f>
        <v>46</v>
      </c>
      <c r="L80" s="10"/>
      <c r="M80" s="10"/>
      <c r="N80" s="10"/>
      <c r="O80" s="10"/>
      <c r="P80" s="10"/>
      <c r="Q80" s="10"/>
      <c r="R80" s="10"/>
      <c r="S80" s="10"/>
      <c r="T80" s="10"/>
      <c r="U80" s="10"/>
      <c r="V80" s="10"/>
      <c r="W80" s="10"/>
      <c r="X80" s="10"/>
      <c r="Y80" s="10"/>
      <c r="Z80" s="10"/>
      <c r="AA80" s="10"/>
    </row>
    <row r="81" spans="1:27" s="18" customFormat="1" ht="31.5">
      <c r="A81" s="46" t="s">
        <v>137</v>
      </c>
      <c r="B81" s="42">
        <v>871</v>
      </c>
      <c r="C81" s="41" t="s">
        <v>11</v>
      </c>
      <c r="D81" s="41" t="s">
        <v>123</v>
      </c>
      <c r="E81" s="41" t="s">
        <v>18</v>
      </c>
      <c r="F81" s="41" t="s">
        <v>126</v>
      </c>
      <c r="G81" s="41" t="s">
        <v>15</v>
      </c>
      <c r="H81" s="41" t="s">
        <v>339</v>
      </c>
      <c r="I81" s="41" t="s">
        <v>127</v>
      </c>
      <c r="J81" s="192">
        <f>132.5-82.5</f>
        <v>50</v>
      </c>
      <c r="K81" s="192">
        <v>46</v>
      </c>
      <c r="L81" s="10"/>
      <c r="M81" s="10"/>
      <c r="N81" s="10"/>
      <c r="O81" s="10"/>
      <c r="P81" s="10"/>
      <c r="Q81" s="10"/>
      <c r="R81" s="10"/>
      <c r="S81" s="10"/>
      <c r="T81" s="10"/>
      <c r="U81" s="10"/>
      <c r="V81" s="10"/>
      <c r="W81" s="10"/>
      <c r="X81" s="10"/>
      <c r="Y81" s="10"/>
      <c r="Z81" s="10"/>
      <c r="AA81" s="10"/>
    </row>
    <row r="82" spans="1:27" s="18" customFormat="1" ht="47.25">
      <c r="A82" s="40" t="s">
        <v>427</v>
      </c>
      <c r="B82" s="42">
        <v>871</v>
      </c>
      <c r="C82" s="41" t="s">
        <v>11</v>
      </c>
      <c r="D82" s="42">
        <v>13</v>
      </c>
      <c r="E82" s="41" t="s">
        <v>18</v>
      </c>
      <c r="F82" s="42">
        <v>1</v>
      </c>
      <c r="G82" s="41" t="s">
        <v>16</v>
      </c>
      <c r="H82" s="41" t="s">
        <v>423</v>
      </c>
      <c r="I82" s="42"/>
      <c r="J82" s="192">
        <f>J83</f>
        <v>40</v>
      </c>
      <c r="K82" s="192">
        <f>K83</f>
        <v>32.9</v>
      </c>
      <c r="L82" s="10"/>
      <c r="M82" s="10"/>
      <c r="N82" s="10"/>
      <c r="O82" s="10"/>
      <c r="P82" s="10"/>
      <c r="Q82" s="10"/>
      <c r="R82" s="10"/>
      <c r="S82" s="10"/>
      <c r="T82" s="10"/>
      <c r="U82" s="10"/>
      <c r="V82" s="10"/>
      <c r="W82" s="10"/>
      <c r="X82" s="10"/>
      <c r="Y82" s="10"/>
      <c r="Z82" s="10"/>
      <c r="AA82" s="10"/>
    </row>
    <row r="83" spans="1:27" ht="47.25">
      <c r="A83" s="46" t="s">
        <v>125</v>
      </c>
      <c r="B83" s="42">
        <v>871</v>
      </c>
      <c r="C83" s="41" t="s">
        <v>11</v>
      </c>
      <c r="D83" s="41" t="s">
        <v>123</v>
      </c>
      <c r="E83" s="41" t="s">
        <v>18</v>
      </c>
      <c r="F83" s="41" t="s">
        <v>126</v>
      </c>
      <c r="G83" s="41" t="s">
        <v>16</v>
      </c>
      <c r="H83" s="41" t="s">
        <v>339</v>
      </c>
      <c r="I83" s="41"/>
      <c r="J83" s="192">
        <f>J84</f>
        <v>40</v>
      </c>
      <c r="K83" s="192">
        <f>K84</f>
        <v>32.9</v>
      </c>
    </row>
    <row r="84" spans="1:27" ht="31.5">
      <c r="A84" s="46" t="s">
        <v>137</v>
      </c>
      <c r="B84" s="42">
        <v>871</v>
      </c>
      <c r="C84" s="41" t="s">
        <v>11</v>
      </c>
      <c r="D84" s="41" t="s">
        <v>123</v>
      </c>
      <c r="E84" s="41" t="s">
        <v>18</v>
      </c>
      <c r="F84" s="41" t="s">
        <v>126</v>
      </c>
      <c r="G84" s="41" t="s">
        <v>16</v>
      </c>
      <c r="H84" s="41" t="s">
        <v>339</v>
      </c>
      <c r="I84" s="41" t="s">
        <v>127</v>
      </c>
      <c r="J84" s="192">
        <f>150-100-10</f>
        <v>40</v>
      </c>
      <c r="K84" s="192">
        <v>32.9</v>
      </c>
    </row>
    <row r="85" spans="1:27" s="9" customFormat="1" ht="15.75">
      <c r="A85" s="40" t="s">
        <v>342</v>
      </c>
      <c r="B85" s="42">
        <v>871</v>
      </c>
      <c r="C85" s="41" t="s">
        <v>11</v>
      </c>
      <c r="D85" s="42">
        <v>13</v>
      </c>
      <c r="E85" s="41" t="s">
        <v>18</v>
      </c>
      <c r="F85" s="42">
        <v>1</v>
      </c>
      <c r="G85" s="41" t="s">
        <v>66</v>
      </c>
      <c r="H85" s="41" t="s">
        <v>423</v>
      </c>
      <c r="I85" s="42"/>
      <c r="J85" s="192">
        <f>J86</f>
        <v>50</v>
      </c>
      <c r="K85" s="192">
        <f>K86</f>
        <v>41</v>
      </c>
    </row>
    <row r="86" spans="1:27" ht="47.25">
      <c r="A86" s="46" t="s">
        <v>125</v>
      </c>
      <c r="B86" s="42">
        <v>871</v>
      </c>
      <c r="C86" s="41" t="s">
        <v>11</v>
      </c>
      <c r="D86" s="41" t="s">
        <v>123</v>
      </c>
      <c r="E86" s="41" t="s">
        <v>18</v>
      </c>
      <c r="F86" s="41" t="s">
        <v>126</v>
      </c>
      <c r="G86" s="41" t="s">
        <v>66</v>
      </c>
      <c r="H86" s="41" t="s">
        <v>339</v>
      </c>
      <c r="I86" s="41"/>
      <c r="J86" s="192">
        <f>J87</f>
        <v>50</v>
      </c>
      <c r="K86" s="192">
        <f>K87</f>
        <v>41</v>
      </c>
    </row>
    <row r="87" spans="1:27" ht="31.5">
      <c r="A87" s="46" t="s">
        <v>137</v>
      </c>
      <c r="B87" s="42">
        <v>871</v>
      </c>
      <c r="C87" s="41" t="s">
        <v>11</v>
      </c>
      <c r="D87" s="41" t="s">
        <v>123</v>
      </c>
      <c r="E87" s="41" t="s">
        <v>18</v>
      </c>
      <c r="F87" s="41" t="s">
        <v>126</v>
      </c>
      <c r="G87" s="41" t="s">
        <v>66</v>
      </c>
      <c r="H87" s="41" t="s">
        <v>339</v>
      </c>
      <c r="I87" s="41" t="s">
        <v>127</v>
      </c>
      <c r="J87" s="192">
        <f>80-30</f>
        <v>50</v>
      </c>
      <c r="K87" s="192">
        <v>41</v>
      </c>
    </row>
    <row r="88" spans="1:27" s="18" customFormat="1" ht="31.5">
      <c r="A88" s="40" t="s">
        <v>428</v>
      </c>
      <c r="B88" s="42">
        <v>871</v>
      </c>
      <c r="C88" s="41" t="s">
        <v>11</v>
      </c>
      <c r="D88" s="42">
        <v>13</v>
      </c>
      <c r="E88" s="41" t="s">
        <v>19</v>
      </c>
      <c r="F88" s="42">
        <v>0</v>
      </c>
      <c r="G88" s="41" t="s">
        <v>315</v>
      </c>
      <c r="H88" s="41" t="s">
        <v>423</v>
      </c>
      <c r="I88" s="42"/>
      <c r="J88" s="192">
        <f t="shared" ref="J88:K90" si="3">J89</f>
        <v>127.2</v>
      </c>
      <c r="K88" s="192">
        <f t="shared" si="3"/>
        <v>104.7</v>
      </c>
      <c r="L88" s="10"/>
      <c r="M88" s="10"/>
      <c r="N88" s="10"/>
      <c r="O88" s="10"/>
      <c r="P88" s="10"/>
      <c r="Q88" s="10"/>
      <c r="R88" s="10"/>
      <c r="S88" s="10"/>
      <c r="T88" s="10"/>
      <c r="U88" s="10"/>
      <c r="V88" s="10"/>
      <c r="W88" s="10"/>
      <c r="X88" s="10"/>
      <c r="Y88" s="10"/>
      <c r="Z88" s="10"/>
      <c r="AA88" s="10"/>
    </row>
    <row r="89" spans="1:27" ht="47.25">
      <c r="A89" s="40" t="s">
        <v>133</v>
      </c>
      <c r="B89" s="42">
        <v>871</v>
      </c>
      <c r="C89" s="41" t="s">
        <v>11</v>
      </c>
      <c r="D89" s="42">
        <v>13</v>
      </c>
      <c r="E89" s="41" t="s">
        <v>19</v>
      </c>
      <c r="F89" s="42">
        <v>0</v>
      </c>
      <c r="G89" s="41" t="s">
        <v>315</v>
      </c>
      <c r="H89" s="41" t="s">
        <v>423</v>
      </c>
      <c r="I89" s="42"/>
      <c r="J89" s="192">
        <f t="shared" si="3"/>
        <v>127.2</v>
      </c>
      <c r="K89" s="192">
        <f t="shared" si="3"/>
        <v>104.7</v>
      </c>
    </row>
    <row r="90" spans="1:27" ht="47.25">
      <c r="A90" s="46" t="s">
        <v>129</v>
      </c>
      <c r="B90" s="42">
        <v>871</v>
      </c>
      <c r="C90" s="41" t="s">
        <v>11</v>
      </c>
      <c r="D90" s="41" t="s">
        <v>123</v>
      </c>
      <c r="E90" s="41" t="s">
        <v>19</v>
      </c>
      <c r="F90" s="41" t="s">
        <v>128</v>
      </c>
      <c r="G90" s="41" t="s">
        <v>315</v>
      </c>
      <c r="H90" s="41" t="s">
        <v>343</v>
      </c>
      <c r="I90" s="41"/>
      <c r="J90" s="192">
        <f t="shared" si="3"/>
        <v>127.2</v>
      </c>
      <c r="K90" s="192">
        <f t="shared" si="3"/>
        <v>104.7</v>
      </c>
    </row>
    <row r="91" spans="1:27" ht="31.5">
      <c r="A91" s="46" t="s">
        <v>137</v>
      </c>
      <c r="B91" s="42">
        <v>871</v>
      </c>
      <c r="C91" s="41" t="s">
        <v>11</v>
      </c>
      <c r="D91" s="41" t="s">
        <v>123</v>
      </c>
      <c r="E91" s="41" t="s">
        <v>19</v>
      </c>
      <c r="F91" s="41" t="s">
        <v>128</v>
      </c>
      <c r="G91" s="41" t="s">
        <v>315</v>
      </c>
      <c r="H91" s="41" t="s">
        <v>343</v>
      </c>
      <c r="I91" s="41" t="s">
        <v>127</v>
      </c>
      <c r="J91" s="192">
        <f>254.8-116+0.7-12.3</f>
        <v>127.2</v>
      </c>
      <c r="K91" s="192">
        <v>104.7</v>
      </c>
    </row>
    <row r="92" spans="1:27" s="9" customFormat="1" ht="47.25">
      <c r="A92" s="40" t="s">
        <v>422</v>
      </c>
      <c r="B92" s="42">
        <v>871</v>
      </c>
      <c r="C92" s="41" t="s">
        <v>11</v>
      </c>
      <c r="D92" s="42">
        <v>13</v>
      </c>
      <c r="E92" s="41" t="s">
        <v>37</v>
      </c>
      <c r="F92" s="42">
        <v>0</v>
      </c>
      <c r="G92" s="41" t="s">
        <v>315</v>
      </c>
      <c r="H92" s="41" t="s">
        <v>423</v>
      </c>
      <c r="I92" s="42"/>
      <c r="J92" s="192">
        <f t="shared" ref="J92:K94" si="4">J93</f>
        <v>68.599999999999994</v>
      </c>
      <c r="K92" s="192">
        <f t="shared" si="4"/>
        <v>66.7</v>
      </c>
    </row>
    <row r="93" spans="1:27" ht="31.5">
      <c r="A93" s="46" t="s">
        <v>313</v>
      </c>
      <c r="B93" s="42">
        <v>871</v>
      </c>
      <c r="C93" s="41" t="s">
        <v>11</v>
      </c>
      <c r="D93" s="41" t="s">
        <v>123</v>
      </c>
      <c r="E93" s="41" t="s">
        <v>37</v>
      </c>
      <c r="F93" s="41" t="s">
        <v>128</v>
      </c>
      <c r="G93" s="41" t="s">
        <v>11</v>
      </c>
      <c r="H93" s="41" t="s">
        <v>423</v>
      </c>
      <c r="I93" s="41"/>
      <c r="J93" s="192">
        <f t="shared" si="4"/>
        <v>68.599999999999994</v>
      </c>
      <c r="K93" s="192">
        <f t="shared" si="4"/>
        <v>66.7</v>
      </c>
    </row>
    <row r="94" spans="1:27" ht="31.5">
      <c r="A94" s="46" t="s">
        <v>313</v>
      </c>
      <c r="B94" s="42">
        <v>871</v>
      </c>
      <c r="C94" s="41" t="s">
        <v>11</v>
      </c>
      <c r="D94" s="41" t="s">
        <v>123</v>
      </c>
      <c r="E94" s="41" t="s">
        <v>37</v>
      </c>
      <c r="F94" s="41" t="s">
        <v>128</v>
      </c>
      <c r="G94" s="41" t="s">
        <v>11</v>
      </c>
      <c r="H94" s="41" t="s">
        <v>314</v>
      </c>
      <c r="I94" s="41"/>
      <c r="J94" s="192">
        <f t="shared" si="4"/>
        <v>68.599999999999994</v>
      </c>
      <c r="K94" s="192">
        <f t="shared" si="4"/>
        <v>66.7</v>
      </c>
    </row>
    <row r="95" spans="1:27" s="18" customFormat="1" ht="31.5">
      <c r="A95" s="46" t="s">
        <v>137</v>
      </c>
      <c r="B95" s="42">
        <v>871</v>
      </c>
      <c r="C95" s="41" t="s">
        <v>11</v>
      </c>
      <c r="D95" s="41" t="s">
        <v>123</v>
      </c>
      <c r="E95" s="41" t="s">
        <v>37</v>
      </c>
      <c r="F95" s="41" t="s">
        <v>128</v>
      </c>
      <c r="G95" s="41" t="s">
        <v>11</v>
      </c>
      <c r="H95" s="41" t="s">
        <v>314</v>
      </c>
      <c r="I95" s="41" t="s">
        <v>127</v>
      </c>
      <c r="J95" s="192">
        <f>142-50-23.4</f>
        <v>68.599999999999994</v>
      </c>
      <c r="K95" s="192">
        <v>66.7</v>
      </c>
      <c r="L95" s="10"/>
      <c r="M95" s="10"/>
      <c r="N95" s="10"/>
      <c r="O95" s="10"/>
      <c r="P95" s="10"/>
      <c r="Q95" s="10"/>
      <c r="R95" s="10"/>
      <c r="S95" s="10"/>
      <c r="T95" s="10"/>
      <c r="U95" s="10"/>
      <c r="V95" s="10"/>
      <c r="W95" s="10"/>
      <c r="X95" s="10"/>
      <c r="Y95" s="10"/>
      <c r="Z95" s="10"/>
      <c r="AA95" s="10"/>
    </row>
    <row r="96" spans="1:27" ht="63">
      <c r="A96" s="40" t="s">
        <v>430</v>
      </c>
      <c r="B96" s="42">
        <v>871</v>
      </c>
      <c r="C96" s="41" t="s">
        <v>11</v>
      </c>
      <c r="D96" s="42">
        <v>13</v>
      </c>
      <c r="E96" s="41" t="s">
        <v>123</v>
      </c>
      <c r="F96" s="42">
        <v>0</v>
      </c>
      <c r="G96" s="41" t="s">
        <v>315</v>
      </c>
      <c r="H96" s="41" t="s">
        <v>423</v>
      </c>
      <c r="I96" s="42"/>
      <c r="J96" s="192">
        <f>J97+J100</f>
        <v>44.599999999999994</v>
      </c>
      <c r="K96" s="192">
        <f>K97+K100</f>
        <v>44.5</v>
      </c>
    </row>
    <row r="97" spans="1:11" ht="63">
      <c r="A97" s="46" t="s">
        <v>517</v>
      </c>
      <c r="B97" s="42">
        <v>871</v>
      </c>
      <c r="C97" s="41" t="s">
        <v>11</v>
      </c>
      <c r="D97" s="41" t="s">
        <v>123</v>
      </c>
      <c r="E97" s="41" t="s">
        <v>123</v>
      </c>
      <c r="F97" s="41" t="s">
        <v>128</v>
      </c>
      <c r="G97" s="41" t="s">
        <v>15</v>
      </c>
      <c r="H97" s="41"/>
      <c r="I97" s="41"/>
      <c r="J97" s="192">
        <f>J98</f>
        <v>20.399999999999999</v>
      </c>
      <c r="K97" s="192">
        <f>K98</f>
        <v>20.3</v>
      </c>
    </row>
    <row r="98" spans="1:11" s="9" customFormat="1" ht="31.5">
      <c r="A98" s="46" t="s">
        <v>518</v>
      </c>
      <c r="B98" s="42">
        <v>871</v>
      </c>
      <c r="C98" s="41" t="s">
        <v>11</v>
      </c>
      <c r="D98" s="41" t="s">
        <v>123</v>
      </c>
      <c r="E98" s="41" t="s">
        <v>123</v>
      </c>
      <c r="F98" s="41" t="s">
        <v>128</v>
      </c>
      <c r="G98" s="41" t="s">
        <v>15</v>
      </c>
      <c r="H98" s="41" t="s">
        <v>519</v>
      </c>
      <c r="I98" s="41"/>
      <c r="J98" s="192">
        <f>J99</f>
        <v>20.399999999999999</v>
      </c>
      <c r="K98" s="192">
        <f>K99</f>
        <v>20.3</v>
      </c>
    </row>
    <row r="99" spans="1:11" ht="31.5">
      <c r="A99" s="46" t="s">
        <v>137</v>
      </c>
      <c r="B99" s="42">
        <v>871</v>
      </c>
      <c r="C99" s="41" t="s">
        <v>11</v>
      </c>
      <c r="D99" s="41" t="s">
        <v>123</v>
      </c>
      <c r="E99" s="41" t="s">
        <v>123</v>
      </c>
      <c r="F99" s="41" t="s">
        <v>128</v>
      </c>
      <c r="G99" s="41" t="s">
        <v>15</v>
      </c>
      <c r="H99" s="41" t="s">
        <v>519</v>
      </c>
      <c r="I99" s="41" t="s">
        <v>127</v>
      </c>
      <c r="J99" s="192">
        <f>58-37.6</f>
        <v>20.399999999999999</v>
      </c>
      <c r="K99" s="192">
        <v>20.3</v>
      </c>
    </row>
    <row r="100" spans="1:11" ht="63">
      <c r="A100" s="46" t="s">
        <v>520</v>
      </c>
      <c r="B100" s="42">
        <v>871</v>
      </c>
      <c r="C100" s="41" t="s">
        <v>11</v>
      </c>
      <c r="D100" s="41" t="s">
        <v>123</v>
      </c>
      <c r="E100" s="41" t="s">
        <v>123</v>
      </c>
      <c r="F100" s="41" t="s">
        <v>128</v>
      </c>
      <c r="G100" s="41" t="s">
        <v>16</v>
      </c>
      <c r="H100" s="41"/>
      <c r="I100" s="41"/>
      <c r="J100" s="192">
        <f>J101</f>
        <v>24.2</v>
      </c>
      <c r="K100" s="192">
        <f>K101</f>
        <v>24.2</v>
      </c>
    </row>
    <row r="101" spans="1:11" ht="31.5">
      <c r="A101" s="46" t="s">
        <v>521</v>
      </c>
      <c r="B101" s="42">
        <v>871</v>
      </c>
      <c r="C101" s="41" t="s">
        <v>11</v>
      </c>
      <c r="D101" s="41" t="s">
        <v>123</v>
      </c>
      <c r="E101" s="41" t="s">
        <v>123</v>
      </c>
      <c r="F101" s="41" t="s">
        <v>128</v>
      </c>
      <c r="G101" s="41" t="s">
        <v>16</v>
      </c>
      <c r="H101" s="41" t="s">
        <v>522</v>
      </c>
      <c r="I101" s="41"/>
      <c r="J101" s="192">
        <f>J102</f>
        <v>24.2</v>
      </c>
      <c r="K101" s="192">
        <f>K102</f>
        <v>24.2</v>
      </c>
    </row>
    <row r="102" spans="1:11" ht="31.5">
      <c r="A102" s="46" t="s">
        <v>137</v>
      </c>
      <c r="B102" s="42">
        <v>871</v>
      </c>
      <c r="C102" s="41" t="s">
        <v>11</v>
      </c>
      <c r="D102" s="41" t="s">
        <v>123</v>
      </c>
      <c r="E102" s="41" t="s">
        <v>123</v>
      </c>
      <c r="F102" s="41" t="s">
        <v>128</v>
      </c>
      <c r="G102" s="41" t="s">
        <v>16</v>
      </c>
      <c r="H102" s="41" t="s">
        <v>522</v>
      </c>
      <c r="I102" s="41" t="s">
        <v>127</v>
      </c>
      <c r="J102" s="192">
        <f>52-27.8</f>
        <v>24.2</v>
      </c>
      <c r="K102" s="192">
        <v>24.2</v>
      </c>
    </row>
    <row r="103" spans="1:11" s="9" customFormat="1" ht="15.75">
      <c r="A103" s="46" t="s">
        <v>108</v>
      </c>
      <c r="B103" s="41" t="s">
        <v>24</v>
      </c>
      <c r="C103" s="41" t="s">
        <v>11</v>
      </c>
      <c r="D103" s="41" t="s">
        <v>123</v>
      </c>
      <c r="E103" s="42">
        <v>92</v>
      </c>
      <c r="F103" s="41"/>
      <c r="G103" s="41"/>
      <c r="H103" s="42"/>
      <c r="I103" s="41"/>
      <c r="J103" s="192">
        <f>J104</f>
        <v>275.09999999999997</v>
      </c>
      <c r="K103" s="192">
        <f>K104</f>
        <v>274.90000000000003</v>
      </c>
    </row>
    <row r="104" spans="1:11" ht="15.75">
      <c r="A104" s="46" t="s">
        <v>140</v>
      </c>
      <c r="B104" s="41" t="s">
        <v>24</v>
      </c>
      <c r="C104" s="41" t="s">
        <v>11</v>
      </c>
      <c r="D104" s="41" t="s">
        <v>123</v>
      </c>
      <c r="E104" s="42">
        <v>92</v>
      </c>
      <c r="F104" s="41" t="s">
        <v>330</v>
      </c>
      <c r="G104" s="41"/>
      <c r="H104" s="42"/>
      <c r="I104" s="41"/>
      <c r="J104" s="192">
        <f>J105</f>
        <v>275.09999999999997</v>
      </c>
      <c r="K104" s="192">
        <f>K105</f>
        <v>274.90000000000003</v>
      </c>
    </row>
    <row r="105" spans="1:11" ht="63">
      <c r="A105" s="46" t="s">
        <v>344</v>
      </c>
      <c r="B105" s="41" t="s">
        <v>24</v>
      </c>
      <c r="C105" s="41" t="s">
        <v>11</v>
      </c>
      <c r="D105" s="41" t="s">
        <v>123</v>
      </c>
      <c r="E105" s="42">
        <v>92</v>
      </c>
      <c r="F105" s="41" t="s">
        <v>330</v>
      </c>
      <c r="G105" s="41" t="s">
        <v>315</v>
      </c>
      <c r="H105" s="42"/>
      <c r="I105" s="41"/>
      <c r="J105" s="192">
        <f>SUM(J106:J108)</f>
        <v>275.09999999999997</v>
      </c>
      <c r="K105" s="192">
        <f>SUM(K106:K108)</f>
        <v>274.90000000000003</v>
      </c>
    </row>
    <row r="106" spans="1:11" ht="31.5">
      <c r="A106" s="46" t="s">
        <v>137</v>
      </c>
      <c r="B106" s="41" t="s">
        <v>24</v>
      </c>
      <c r="C106" s="41" t="s">
        <v>11</v>
      </c>
      <c r="D106" s="41" t="s">
        <v>123</v>
      </c>
      <c r="E106" s="42">
        <v>92</v>
      </c>
      <c r="F106" s="41" t="s">
        <v>330</v>
      </c>
      <c r="G106" s="41" t="s">
        <v>315</v>
      </c>
      <c r="H106" s="42">
        <v>26390</v>
      </c>
      <c r="I106" s="41" t="s">
        <v>127</v>
      </c>
      <c r="J106" s="192">
        <v>7.2</v>
      </c>
      <c r="K106" s="192">
        <v>7.1</v>
      </c>
    </row>
    <row r="107" spans="1:11" ht="15.75">
      <c r="A107" s="46" t="s">
        <v>523</v>
      </c>
      <c r="B107" s="41" t="s">
        <v>24</v>
      </c>
      <c r="C107" s="41" t="s">
        <v>11</v>
      </c>
      <c r="D107" s="41" t="s">
        <v>123</v>
      </c>
      <c r="E107" s="42">
        <v>92</v>
      </c>
      <c r="F107" s="41" t="s">
        <v>330</v>
      </c>
      <c r="G107" s="41" t="s">
        <v>315</v>
      </c>
      <c r="H107" s="42">
        <v>26390</v>
      </c>
      <c r="I107" s="41" t="s">
        <v>524</v>
      </c>
      <c r="J107" s="192">
        <v>266.89999999999998</v>
      </c>
      <c r="K107" s="192">
        <v>266.8</v>
      </c>
    </row>
    <row r="108" spans="1:11" ht="15.75">
      <c r="A108" s="46" t="s">
        <v>117</v>
      </c>
      <c r="B108" s="41" t="s">
        <v>24</v>
      </c>
      <c r="C108" s="41" t="s">
        <v>11</v>
      </c>
      <c r="D108" s="41" t="s">
        <v>123</v>
      </c>
      <c r="E108" s="42">
        <v>92</v>
      </c>
      <c r="F108" s="41" t="s">
        <v>330</v>
      </c>
      <c r="G108" s="41" t="s">
        <v>315</v>
      </c>
      <c r="H108" s="42">
        <v>26390</v>
      </c>
      <c r="I108" s="41" t="s">
        <v>431</v>
      </c>
      <c r="J108" s="192">
        <v>1</v>
      </c>
      <c r="K108" s="192">
        <v>1</v>
      </c>
    </row>
    <row r="109" spans="1:11" ht="15.75">
      <c r="A109" s="202" t="s">
        <v>274</v>
      </c>
      <c r="B109" s="42">
        <v>871</v>
      </c>
      <c r="C109" s="41" t="s">
        <v>13</v>
      </c>
      <c r="D109" s="42" t="s">
        <v>9</v>
      </c>
      <c r="E109" s="41" t="s">
        <v>10</v>
      </c>
      <c r="F109" s="42"/>
      <c r="G109" s="41"/>
      <c r="H109" s="41"/>
      <c r="I109" s="42" t="s">
        <v>8</v>
      </c>
      <c r="J109" s="201">
        <f t="shared" ref="J109:K113" si="5">J110</f>
        <v>399.1</v>
      </c>
      <c r="K109" s="201">
        <f t="shared" si="5"/>
        <v>399.1</v>
      </c>
    </row>
    <row r="110" spans="1:11" ht="15.75">
      <c r="A110" s="203" t="s">
        <v>2</v>
      </c>
      <c r="B110" s="42">
        <v>871</v>
      </c>
      <c r="C110" s="41" t="s">
        <v>13</v>
      </c>
      <c r="D110" s="41" t="s">
        <v>12</v>
      </c>
      <c r="E110" s="41" t="s">
        <v>10</v>
      </c>
      <c r="F110" s="42"/>
      <c r="G110" s="41"/>
      <c r="H110" s="41"/>
      <c r="I110" s="42" t="s">
        <v>8</v>
      </c>
      <c r="J110" s="192">
        <f t="shared" si="5"/>
        <v>399.1</v>
      </c>
      <c r="K110" s="192">
        <f t="shared" si="5"/>
        <v>399.1</v>
      </c>
    </row>
    <row r="111" spans="1:11" ht="15.75">
      <c r="A111" s="46" t="s">
        <v>58</v>
      </c>
      <c r="B111" s="42">
        <v>871</v>
      </c>
      <c r="C111" s="41" t="s">
        <v>13</v>
      </c>
      <c r="D111" s="41" t="s">
        <v>12</v>
      </c>
      <c r="E111" s="41" t="s">
        <v>45</v>
      </c>
      <c r="F111" s="42">
        <v>0</v>
      </c>
      <c r="G111" s="41" t="s">
        <v>315</v>
      </c>
      <c r="H111" s="41" t="s">
        <v>423</v>
      </c>
      <c r="I111" s="42"/>
      <c r="J111" s="192">
        <f t="shared" si="5"/>
        <v>399.1</v>
      </c>
      <c r="K111" s="192">
        <f t="shared" si="5"/>
        <v>399.1</v>
      </c>
    </row>
    <row r="112" spans="1:11" ht="15.75">
      <c r="A112" s="46" t="s">
        <v>59</v>
      </c>
      <c r="B112" s="42">
        <v>871</v>
      </c>
      <c r="C112" s="41" t="s">
        <v>13</v>
      </c>
      <c r="D112" s="41" t="s">
        <v>12</v>
      </c>
      <c r="E112" s="41" t="s">
        <v>45</v>
      </c>
      <c r="F112" s="42">
        <v>9</v>
      </c>
      <c r="G112" s="41" t="s">
        <v>315</v>
      </c>
      <c r="H112" s="41" t="s">
        <v>423</v>
      </c>
      <c r="I112" s="42"/>
      <c r="J112" s="192">
        <f t="shared" si="5"/>
        <v>399.1</v>
      </c>
      <c r="K112" s="192">
        <f t="shared" si="5"/>
        <v>399.1</v>
      </c>
    </row>
    <row r="113" spans="1:11" ht="63">
      <c r="A113" s="40" t="s">
        <v>60</v>
      </c>
      <c r="B113" s="42">
        <v>871</v>
      </c>
      <c r="C113" s="41" t="s">
        <v>13</v>
      </c>
      <c r="D113" s="41" t="s">
        <v>12</v>
      </c>
      <c r="E113" s="41" t="s">
        <v>45</v>
      </c>
      <c r="F113" s="42">
        <v>9</v>
      </c>
      <c r="G113" s="41" t="s">
        <v>315</v>
      </c>
      <c r="H113" s="41" t="s">
        <v>346</v>
      </c>
      <c r="I113" s="42"/>
      <c r="J113" s="192">
        <f t="shared" si="5"/>
        <v>399.1</v>
      </c>
      <c r="K113" s="192">
        <f t="shared" si="5"/>
        <v>399.1</v>
      </c>
    </row>
    <row r="114" spans="1:11" ht="15.75">
      <c r="A114" s="40" t="s">
        <v>116</v>
      </c>
      <c r="B114" s="42">
        <v>871</v>
      </c>
      <c r="C114" s="41" t="s">
        <v>13</v>
      </c>
      <c r="D114" s="41" t="s">
        <v>12</v>
      </c>
      <c r="E114" s="41" t="s">
        <v>45</v>
      </c>
      <c r="F114" s="42">
        <v>9</v>
      </c>
      <c r="G114" s="41" t="s">
        <v>315</v>
      </c>
      <c r="H114" s="41" t="s">
        <v>346</v>
      </c>
      <c r="I114" s="42">
        <v>120</v>
      </c>
      <c r="J114" s="192">
        <v>399.1</v>
      </c>
      <c r="K114" s="192">
        <v>399.1</v>
      </c>
    </row>
    <row r="115" spans="1:11" ht="31.5">
      <c r="A115" s="202" t="s">
        <v>275</v>
      </c>
      <c r="B115" s="42">
        <v>871</v>
      </c>
      <c r="C115" s="41" t="s">
        <v>12</v>
      </c>
      <c r="D115" s="41"/>
      <c r="E115" s="41"/>
      <c r="F115" s="42"/>
      <c r="G115" s="41"/>
      <c r="H115" s="41"/>
      <c r="I115" s="42"/>
      <c r="J115" s="192">
        <f>J116+J132+J137</f>
        <v>273.60000000000002</v>
      </c>
      <c r="K115" s="192">
        <f>K116+K132+K137</f>
        <v>142.6</v>
      </c>
    </row>
    <row r="116" spans="1:11" ht="31.5">
      <c r="A116" s="40" t="s">
        <v>32</v>
      </c>
      <c r="B116" s="42">
        <v>871</v>
      </c>
      <c r="C116" s="41" t="s">
        <v>12</v>
      </c>
      <c r="D116" s="41" t="s">
        <v>25</v>
      </c>
      <c r="E116" s="41"/>
      <c r="F116" s="42"/>
      <c r="G116" s="41"/>
      <c r="H116" s="41"/>
      <c r="I116" s="42"/>
      <c r="J116" s="192">
        <f>J117+J128</f>
        <v>149.19999999999999</v>
      </c>
      <c r="K116" s="192">
        <f>K117+K128</f>
        <v>119.7</v>
      </c>
    </row>
    <row r="117" spans="1:11" ht="110.25">
      <c r="A117" s="40" t="s">
        <v>432</v>
      </c>
      <c r="B117" s="42">
        <v>871</v>
      </c>
      <c r="C117" s="41" t="s">
        <v>12</v>
      </c>
      <c r="D117" s="41" t="s">
        <v>25</v>
      </c>
      <c r="E117" s="41" t="s">
        <v>13</v>
      </c>
      <c r="F117" s="42">
        <v>0</v>
      </c>
      <c r="G117" s="41" t="s">
        <v>315</v>
      </c>
      <c r="H117" s="41" t="s">
        <v>423</v>
      </c>
      <c r="I117" s="42"/>
      <c r="J117" s="192">
        <f>J118+J123</f>
        <v>114</v>
      </c>
      <c r="K117" s="192">
        <f>K118+K123</f>
        <v>84.5</v>
      </c>
    </row>
    <row r="118" spans="1:11" ht="31.5">
      <c r="A118" s="46" t="s">
        <v>347</v>
      </c>
      <c r="B118" s="42">
        <v>871</v>
      </c>
      <c r="C118" s="41" t="s">
        <v>12</v>
      </c>
      <c r="D118" s="41" t="s">
        <v>25</v>
      </c>
      <c r="E118" s="41" t="s">
        <v>13</v>
      </c>
      <c r="F118" s="42">
        <v>1</v>
      </c>
      <c r="G118" s="41" t="s">
        <v>315</v>
      </c>
      <c r="H118" s="41" t="s">
        <v>423</v>
      </c>
      <c r="I118" s="42"/>
      <c r="J118" s="192">
        <f>J119+J121</f>
        <v>75.599999999999994</v>
      </c>
      <c r="K118" s="192">
        <f>K119+K121</f>
        <v>75.5</v>
      </c>
    </row>
    <row r="119" spans="1:11" s="9" customFormat="1" ht="47.25">
      <c r="A119" s="46" t="s">
        <v>348</v>
      </c>
      <c r="B119" s="42">
        <v>871</v>
      </c>
      <c r="C119" s="41" t="s">
        <v>12</v>
      </c>
      <c r="D119" s="41" t="s">
        <v>25</v>
      </c>
      <c r="E119" s="41" t="s">
        <v>13</v>
      </c>
      <c r="F119" s="42">
        <v>1</v>
      </c>
      <c r="G119" s="41" t="s">
        <v>315</v>
      </c>
      <c r="H119" s="41" t="s">
        <v>349</v>
      </c>
      <c r="I119" s="42"/>
      <c r="J119" s="192">
        <f>J120</f>
        <v>3.5</v>
      </c>
      <c r="K119" s="192">
        <f>K120</f>
        <v>3.5</v>
      </c>
    </row>
    <row r="120" spans="1:11" ht="31.5">
      <c r="A120" s="46" t="s">
        <v>137</v>
      </c>
      <c r="B120" s="42">
        <v>871</v>
      </c>
      <c r="C120" s="41" t="s">
        <v>12</v>
      </c>
      <c r="D120" s="41" t="s">
        <v>25</v>
      </c>
      <c r="E120" s="41" t="s">
        <v>13</v>
      </c>
      <c r="F120" s="42">
        <v>1</v>
      </c>
      <c r="G120" s="41" t="s">
        <v>315</v>
      </c>
      <c r="H120" s="41" t="s">
        <v>349</v>
      </c>
      <c r="I120" s="42">
        <v>240</v>
      </c>
      <c r="J120" s="192">
        <f>30-26.5</f>
        <v>3.5</v>
      </c>
      <c r="K120" s="192">
        <v>3.5</v>
      </c>
    </row>
    <row r="121" spans="1:11" ht="15.75">
      <c r="A121" s="46" t="s">
        <v>525</v>
      </c>
      <c r="B121" s="42">
        <v>871</v>
      </c>
      <c r="C121" s="41" t="s">
        <v>12</v>
      </c>
      <c r="D121" s="41" t="s">
        <v>25</v>
      </c>
      <c r="E121" s="41" t="s">
        <v>13</v>
      </c>
      <c r="F121" s="42">
        <v>1</v>
      </c>
      <c r="G121" s="41" t="s">
        <v>315</v>
      </c>
      <c r="H121" s="41" t="s">
        <v>526</v>
      </c>
      <c r="I121" s="42"/>
      <c r="J121" s="192">
        <f>J122</f>
        <v>72.099999999999994</v>
      </c>
      <c r="K121" s="192">
        <f>K122</f>
        <v>72</v>
      </c>
    </row>
    <row r="122" spans="1:11" ht="31.5">
      <c r="A122" s="46" t="s">
        <v>137</v>
      </c>
      <c r="B122" s="42">
        <v>871</v>
      </c>
      <c r="C122" s="41" t="s">
        <v>12</v>
      </c>
      <c r="D122" s="41" t="s">
        <v>25</v>
      </c>
      <c r="E122" s="41" t="s">
        <v>13</v>
      </c>
      <c r="F122" s="42">
        <v>1</v>
      </c>
      <c r="G122" s="41" t="s">
        <v>315</v>
      </c>
      <c r="H122" s="41" t="s">
        <v>526</v>
      </c>
      <c r="I122" s="42">
        <v>240</v>
      </c>
      <c r="J122" s="192">
        <f>100+14.5-42.4</f>
        <v>72.099999999999994</v>
      </c>
      <c r="K122" s="192">
        <v>72</v>
      </c>
    </row>
    <row r="123" spans="1:11" ht="63">
      <c r="A123" s="46" t="s">
        <v>350</v>
      </c>
      <c r="B123" s="42">
        <v>871</v>
      </c>
      <c r="C123" s="41" t="s">
        <v>12</v>
      </c>
      <c r="D123" s="41" t="s">
        <v>25</v>
      </c>
      <c r="E123" s="41" t="s">
        <v>13</v>
      </c>
      <c r="F123" s="42">
        <v>3</v>
      </c>
      <c r="G123" s="41" t="s">
        <v>315</v>
      </c>
      <c r="H123" s="41" t="s">
        <v>423</v>
      </c>
      <c r="I123" s="42"/>
      <c r="J123" s="192">
        <f>J124+J126</f>
        <v>38.4</v>
      </c>
      <c r="K123" s="192">
        <f>K124+K126</f>
        <v>9</v>
      </c>
    </row>
    <row r="124" spans="1:11" ht="47.25">
      <c r="A124" s="46" t="s">
        <v>433</v>
      </c>
      <c r="B124" s="42">
        <v>871</v>
      </c>
      <c r="C124" s="41" t="s">
        <v>12</v>
      </c>
      <c r="D124" s="41" t="s">
        <v>25</v>
      </c>
      <c r="E124" s="41" t="s">
        <v>13</v>
      </c>
      <c r="F124" s="42">
        <v>3</v>
      </c>
      <c r="G124" s="41" t="s">
        <v>315</v>
      </c>
      <c r="H124" s="41" t="s">
        <v>434</v>
      </c>
      <c r="I124" s="42"/>
      <c r="J124" s="192">
        <f>J125</f>
        <v>29.4</v>
      </c>
      <c r="K124" s="192">
        <f>K125</f>
        <v>0</v>
      </c>
    </row>
    <row r="125" spans="1:11" ht="31.5">
      <c r="A125" s="46" t="s">
        <v>137</v>
      </c>
      <c r="B125" s="42">
        <v>871</v>
      </c>
      <c r="C125" s="41" t="s">
        <v>12</v>
      </c>
      <c r="D125" s="41" t="s">
        <v>25</v>
      </c>
      <c r="E125" s="41" t="s">
        <v>13</v>
      </c>
      <c r="F125" s="42">
        <v>3</v>
      </c>
      <c r="G125" s="41" t="s">
        <v>315</v>
      </c>
      <c r="H125" s="41" t="s">
        <v>434</v>
      </c>
      <c r="I125" s="42">
        <v>240</v>
      </c>
      <c r="J125" s="192">
        <f>331+60-350-11.6</f>
        <v>29.4</v>
      </c>
      <c r="K125" s="192">
        <v>0</v>
      </c>
    </row>
    <row r="126" spans="1:11" ht="31.5">
      <c r="A126" s="46" t="s">
        <v>351</v>
      </c>
      <c r="B126" s="42">
        <v>871</v>
      </c>
      <c r="C126" s="41" t="s">
        <v>12</v>
      </c>
      <c r="D126" s="41" t="s">
        <v>25</v>
      </c>
      <c r="E126" s="41" t="s">
        <v>13</v>
      </c>
      <c r="F126" s="42">
        <v>3</v>
      </c>
      <c r="G126" s="41" t="s">
        <v>315</v>
      </c>
      <c r="H126" s="41" t="s">
        <v>352</v>
      </c>
      <c r="I126" s="42"/>
      <c r="J126" s="192">
        <f>J127</f>
        <v>9</v>
      </c>
      <c r="K126" s="192">
        <f>K127</f>
        <v>9</v>
      </c>
    </row>
    <row r="127" spans="1:11" ht="31.5">
      <c r="A127" s="46" t="s">
        <v>137</v>
      </c>
      <c r="B127" s="42">
        <v>871</v>
      </c>
      <c r="C127" s="41" t="s">
        <v>12</v>
      </c>
      <c r="D127" s="41" t="s">
        <v>25</v>
      </c>
      <c r="E127" s="41" t="s">
        <v>13</v>
      </c>
      <c r="F127" s="42">
        <v>3</v>
      </c>
      <c r="G127" s="41" t="s">
        <v>315</v>
      </c>
      <c r="H127" s="41" t="s">
        <v>352</v>
      </c>
      <c r="I127" s="42">
        <v>240</v>
      </c>
      <c r="J127" s="192">
        <v>9</v>
      </c>
      <c r="K127" s="192">
        <v>9</v>
      </c>
    </row>
    <row r="128" spans="1:11" ht="31.5">
      <c r="A128" s="46" t="s">
        <v>54</v>
      </c>
      <c r="B128" s="42">
        <v>871</v>
      </c>
      <c r="C128" s="41" t="s">
        <v>12</v>
      </c>
      <c r="D128" s="41" t="s">
        <v>25</v>
      </c>
      <c r="E128" s="41">
        <v>97</v>
      </c>
      <c r="F128" s="42">
        <v>0</v>
      </c>
      <c r="G128" s="41" t="s">
        <v>315</v>
      </c>
      <c r="H128" s="41" t="s">
        <v>423</v>
      </c>
      <c r="I128" s="42"/>
      <c r="J128" s="192">
        <f t="shared" ref="J128:K130" si="6">J129</f>
        <v>35.200000000000003</v>
      </c>
      <c r="K128" s="192">
        <f t="shared" si="6"/>
        <v>35.200000000000003</v>
      </c>
    </row>
    <row r="129" spans="1:11" ht="63">
      <c r="A129" s="46" t="s">
        <v>53</v>
      </c>
      <c r="B129" s="42">
        <v>871</v>
      </c>
      <c r="C129" s="41" t="s">
        <v>12</v>
      </c>
      <c r="D129" s="41" t="s">
        <v>25</v>
      </c>
      <c r="E129" s="41">
        <v>97</v>
      </c>
      <c r="F129" s="42">
        <v>2</v>
      </c>
      <c r="G129" s="41" t="s">
        <v>315</v>
      </c>
      <c r="H129" s="41" t="s">
        <v>423</v>
      </c>
      <c r="I129" s="42"/>
      <c r="J129" s="192">
        <f t="shared" si="6"/>
        <v>35.200000000000003</v>
      </c>
      <c r="K129" s="192">
        <f t="shared" si="6"/>
        <v>35.200000000000003</v>
      </c>
    </row>
    <row r="130" spans="1:11" ht="63">
      <c r="A130" s="46" t="s">
        <v>355</v>
      </c>
      <c r="B130" s="42">
        <v>871</v>
      </c>
      <c r="C130" s="41" t="s">
        <v>12</v>
      </c>
      <c r="D130" s="41" t="s">
        <v>25</v>
      </c>
      <c r="E130" s="41" t="s">
        <v>61</v>
      </c>
      <c r="F130" s="42">
        <v>2</v>
      </c>
      <c r="G130" s="41" t="s">
        <v>315</v>
      </c>
      <c r="H130" s="41" t="s">
        <v>356</v>
      </c>
      <c r="I130" s="42"/>
      <c r="J130" s="192">
        <f t="shared" si="6"/>
        <v>35.200000000000003</v>
      </c>
      <c r="K130" s="192">
        <f t="shared" si="6"/>
        <v>35.200000000000003</v>
      </c>
    </row>
    <row r="131" spans="1:11" ht="15.75">
      <c r="A131" s="194" t="s">
        <v>38</v>
      </c>
      <c r="B131" s="42">
        <v>871</v>
      </c>
      <c r="C131" s="41" t="s">
        <v>12</v>
      </c>
      <c r="D131" s="41" t="s">
        <v>25</v>
      </c>
      <c r="E131" s="41" t="s">
        <v>61</v>
      </c>
      <c r="F131" s="42">
        <v>2</v>
      </c>
      <c r="G131" s="41" t="s">
        <v>315</v>
      </c>
      <c r="H131" s="41" t="s">
        <v>356</v>
      </c>
      <c r="I131" s="42">
        <v>540</v>
      </c>
      <c r="J131" s="192">
        <v>35.200000000000003</v>
      </c>
      <c r="K131" s="192">
        <v>35.200000000000003</v>
      </c>
    </row>
    <row r="132" spans="1:11" ht="15.75">
      <c r="A132" s="46" t="s">
        <v>435</v>
      </c>
      <c r="B132" s="42">
        <v>871</v>
      </c>
      <c r="C132" s="41" t="s">
        <v>12</v>
      </c>
      <c r="D132" s="41" t="s">
        <v>36</v>
      </c>
      <c r="E132" s="41"/>
      <c r="F132" s="42"/>
      <c r="G132" s="41"/>
      <c r="H132" s="41"/>
      <c r="I132" s="42"/>
      <c r="J132" s="192">
        <f t="shared" ref="J132:K135" si="7">J133</f>
        <v>119.4</v>
      </c>
      <c r="K132" s="192">
        <f t="shared" si="7"/>
        <v>22.9</v>
      </c>
    </row>
    <row r="133" spans="1:11" ht="110.25">
      <c r="A133" s="46" t="s">
        <v>432</v>
      </c>
      <c r="B133" s="42">
        <v>871</v>
      </c>
      <c r="C133" s="41" t="s">
        <v>12</v>
      </c>
      <c r="D133" s="41" t="s">
        <v>36</v>
      </c>
      <c r="E133" s="41" t="s">
        <v>13</v>
      </c>
      <c r="F133" s="42">
        <v>0</v>
      </c>
      <c r="G133" s="41" t="s">
        <v>315</v>
      </c>
      <c r="H133" s="41" t="s">
        <v>423</v>
      </c>
      <c r="I133" s="42"/>
      <c r="J133" s="192">
        <f t="shared" si="7"/>
        <v>119.4</v>
      </c>
      <c r="K133" s="192">
        <f t="shared" si="7"/>
        <v>22.9</v>
      </c>
    </row>
    <row r="134" spans="1:11" ht="15.75">
      <c r="A134" s="46" t="s">
        <v>353</v>
      </c>
      <c r="B134" s="42">
        <v>871</v>
      </c>
      <c r="C134" s="41" t="s">
        <v>12</v>
      </c>
      <c r="D134" s="41" t="s">
        <v>36</v>
      </c>
      <c r="E134" s="41" t="s">
        <v>13</v>
      </c>
      <c r="F134" s="42">
        <v>4</v>
      </c>
      <c r="G134" s="41" t="s">
        <v>315</v>
      </c>
      <c r="H134" s="41" t="s">
        <v>423</v>
      </c>
      <c r="I134" s="42"/>
      <c r="J134" s="192">
        <f t="shared" si="7"/>
        <v>119.4</v>
      </c>
      <c r="K134" s="192">
        <f t="shared" si="7"/>
        <v>22.9</v>
      </c>
    </row>
    <row r="135" spans="1:11" ht="15.75">
      <c r="A135" s="46" t="s">
        <v>353</v>
      </c>
      <c r="B135" s="42">
        <v>871</v>
      </c>
      <c r="C135" s="41" t="s">
        <v>12</v>
      </c>
      <c r="D135" s="41" t="s">
        <v>36</v>
      </c>
      <c r="E135" s="41" t="s">
        <v>13</v>
      </c>
      <c r="F135" s="42">
        <v>4</v>
      </c>
      <c r="G135" s="41" t="s">
        <v>315</v>
      </c>
      <c r="H135" s="41" t="s">
        <v>354</v>
      </c>
      <c r="I135" s="42"/>
      <c r="J135" s="192">
        <f t="shared" si="7"/>
        <v>119.4</v>
      </c>
      <c r="K135" s="192">
        <f t="shared" si="7"/>
        <v>22.9</v>
      </c>
    </row>
    <row r="136" spans="1:11" ht="31.5">
      <c r="A136" s="46" t="s">
        <v>137</v>
      </c>
      <c r="B136" s="42">
        <v>871</v>
      </c>
      <c r="C136" s="41" t="s">
        <v>12</v>
      </c>
      <c r="D136" s="41" t="s">
        <v>36</v>
      </c>
      <c r="E136" s="41" t="s">
        <v>13</v>
      </c>
      <c r="F136" s="42">
        <v>4</v>
      </c>
      <c r="G136" s="41" t="s">
        <v>315</v>
      </c>
      <c r="H136" s="41" t="s">
        <v>354</v>
      </c>
      <c r="I136" s="42">
        <v>240</v>
      </c>
      <c r="J136" s="192">
        <f>130-10.6</f>
        <v>119.4</v>
      </c>
      <c r="K136" s="192">
        <v>22.9</v>
      </c>
    </row>
    <row r="137" spans="1:11" ht="31.5">
      <c r="A137" s="46" t="s">
        <v>436</v>
      </c>
      <c r="B137" s="41" t="s">
        <v>24</v>
      </c>
      <c r="C137" s="41" t="s">
        <v>12</v>
      </c>
      <c r="D137" s="41" t="s">
        <v>437</v>
      </c>
      <c r="E137" s="41"/>
      <c r="F137" s="42"/>
      <c r="G137" s="41"/>
      <c r="H137" s="41"/>
      <c r="I137" s="42"/>
      <c r="J137" s="192">
        <f t="shared" ref="J137:K139" si="8">J138</f>
        <v>5</v>
      </c>
      <c r="K137" s="192">
        <f t="shared" si="8"/>
        <v>0</v>
      </c>
    </row>
    <row r="138" spans="1:11" ht="63">
      <c r="A138" s="46" t="s">
        <v>438</v>
      </c>
      <c r="B138" s="41" t="s">
        <v>24</v>
      </c>
      <c r="C138" s="41" t="s">
        <v>12</v>
      </c>
      <c r="D138" s="41" t="s">
        <v>437</v>
      </c>
      <c r="E138" s="41" t="s">
        <v>43</v>
      </c>
      <c r="F138" s="42">
        <v>0</v>
      </c>
      <c r="G138" s="41" t="s">
        <v>315</v>
      </c>
      <c r="H138" s="41" t="s">
        <v>423</v>
      </c>
      <c r="I138" s="42"/>
      <c r="J138" s="192">
        <f t="shared" si="8"/>
        <v>5</v>
      </c>
      <c r="K138" s="192">
        <f t="shared" si="8"/>
        <v>0</v>
      </c>
    </row>
    <row r="139" spans="1:11" ht="15.75">
      <c r="A139" s="46" t="s">
        <v>439</v>
      </c>
      <c r="B139" s="41" t="s">
        <v>24</v>
      </c>
      <c r="C139" s="41" t="s">
        <v>12</v>
      </c>
      <c r="D139" s="41" t="s">
        <v>437</v>
      </c>
      <c r="E139" s="41" t="s">
        <v>43</v>
      </c>
      <c r="F139" s="42">
        <v>0</v>
      </c>
      <c r="G139" s="41" t="s">
        <v>315</v>
      </c>
      <c r="H139" s="41" t="s">
        <v>440</v>
      </c>
      <c r="I139" s="42"/>
      <c r="J139" s="192">
        <f t="shared" si="8"/>
        <v>5</v>
      </c>
      <c r="K139" s="192">
        <f t="shared" si="8"/>
        <v>0</v>
      </c>
    </row>
    <row r="140" spans="1:11" ht="31.5">
      <c r="A140" s="46" t="s">
        <v>137</v>
      </c>
      <c r="B140" s="42">
        <v>871</v>
      </c>
      <c r="C140" s="41" t="s">
        <v>12</v>
      </c>
      <c r="D140" s="41" t="s">
        <v>437</v>
      </c>
      <c r="E140" s="41" t="s">
        <v>43</v>
      </c>
      <c r="F140" s="42">
        <v>0</v>
      </c>
      <c r="G140" s="41" t="s">
        <v>315</v>
      </c>
      <c r="H140" s="41" t="s">
        <v>440</v>
      </c>
      <c r="I140" s="42">
        <v>240</v>
      </c>
      <c r="J140" s="192">
        <f>25-20</f>
        <v>5</v>
      </c>
      <c r="K140" s="192">
        <v>0</v>
      </c>
    </row>
    <row r="141" spans="1:11" ht="15.75">
      <c r="A141" s="202" t="s">
        <v>276</v>
      </c>
      <c r="B141" s="42">
        <v>871</v>
      </c>
      <c r="C141" s="41" t="s">
        <v>15</v>
      </c>
      <c r="D141" s="42" t="s">
        <v>9</v>
      </c>
      <c r="E141" s="41"/>
      <c r="F141" s="42"/>
      <c r="G141" s="41"/>
      <c r="H141" s="41"/>
      <c r="I141" s="42"/>
      <c r="J141" s="192">
        <f>J142+J157+J162</f>
        <v>14121.000000000002</v>
      </c>
      <c r="K141" s="192">
        <f>K142+K157+K162</f>
        <v>12962.5</v>
      </c>
    </row>
    <row r="142" spans="1:11" ht="15.75">
      <c r="A142" s="40" t="s">
        <v>41</v>
      </c>
      <c r="B142" s="41" t="s">
        <v>24</v>
      </c>
      <c r="C142" s="41" t="s">
        <v>15</v>
      </c>
      <c r="D142" s="41" t="s">
        <v>25</v>
      </c>
      <c r="E142" s="41"/>
      <c r="F142" s="42"/>
      <c r="G142" s="41"/>
      <c r="H142" s="41"/>
      <c r="I142" s="42"/>
      <c r="J142" s="192">
        <f>J143</f>
        <v>14036.900000000001</v>
      </c>
      <c r="K142" s="192">
        <f>K143</f>
        <v>12878.4</v>
      </c>
    </row>
    <row r="143" spans="1:11" ht="31.5">
      <c r="A143" s="40" t="s">
        <v>441</v>
      </c>
      <c r="B143" s="41" t="s">
        <v>24</v>
      </c>
      <c r="C143" s="41" t="s">
        <v>15</v>
      </c>
      <c r="D143" s="41" t="s">
        <v>25</v>
      </c>
      <c r="E143" s="41" t="s">
        <v>12</v>
      </c>
      <c r="F143" s="42">
        <v>0</v>
      </c>
      <c r="G143" s="41" t="s">
        <v>315</v>
      </c>
      <c r="H143" s="41" t="s">
        <v>423</v>
      </c>
      <c r="I143" s="42"/>
      <c r="J143" s="192">
        <f>J144</f>
        <v>14036.900000000001</v>
      </c>
      <c r="K143" s="192">
        <f>K144</f>
        <v>12878.4</v>
      </c>
    </row>
    <row r="144" spans="1:11" s="9" customFormat="1" ht="63">
      <c r="A144" s="46" t="s">
        <v>452</v>
      </c>
      <c r="B144" s="41" t="s">
        <v>24</v>
      </c>
      <c r="C144" s="41" t="s">
        <v>15</v>
      </c>
      <c r="D144" s="41" t="s">
        <v>25</v>
      </c>
      <c r="E144" s="41" t="s">
        <v>12</v>
      </c>
      <c r="F144" s="42">
        <v>1</v>
      </c>
      <c r="G144" s="41" t="s">
        <v>315</v>
      </c>
      <c r="H144" s="41" t="s">
        <v>423</v>
      </c>
      <c r="I144" s="42"/>
      <c r="J144" s="192">
        <f>J145+J147+J149+J151+J155+J153</f>
        <v>14036.900000000001</v>
      </c>
      <c r="K144" s="192">
        <f>K145+K147+K149+K151+K155+K153</f>
        <v>12878.4</v>
      </c>
    </row>
    <row r="145" spans="1:11" ht="15.75">
      <c r="A145" s="46" t="s">
        <v>62</v>
      </c>
      <c r="B145" s="41" t="s">
        <v>24</v>
      </c>
      <c r="C145" s="41" t="s">
        <v>15</v>
      </c>
      <c r="D145" s="41" t="s">
        <v>25</v>
      </c>
      <c r="E145" s="41" t="s">
        <v>12</v>
      </c>
      <c r="F145" s="42">
        <v>1</v>
      </c>
      <c r="G145" s="41" t="s">
        <v>315</v>
      </c>
      <c r="H145" s="41" t="s">
        <v>357</v>
      </c>
      <c r="I145" s="42"/>
      <c r="J145" s="192">
        <f>J146</f>
        <v>4923.6000000000013</v>
      </c>
      <c r="K145" s="192">
        <f>K146</f>
        <v>4601.2</v>
      </c>
    </row>
    <row r="146" spans="1:11" ht="31.5">
      <c r="A146" s="46" t="s">
        <v>137</v>
      </c>
      <c r="B146" s="41" t="s">
        <v>24</v>
      </c>
      <c r="C146" s="41" t="s">
        <v>15</v>
      </c>
      <c r="D146" s="41" t="s">
        <v>25</v>
      </c>
      <c r="E146" s="41" t="s">
        <v>12</v>
      </c>
      <c r="F146" s="42">
        <v>1</v>
      </c>
      <c r="G146" s="41" t="s">
        <v>315</v>
      </c>
      <c r="H146" s="41" t="s">
        <v>357</v>
      </c>
      <c r="I146" s="42">
        <v>240</v>
      </c>
      <c r="J146" s="192">
        <f>8549.7-385.4-1280-248.3-1600-760.7+24.7+236.7+1092.2-20-241.9-443.2-0.2</f>
        <v>4923.6000000000013</v>
      </c>
      <c r="K146" s="192">
        <v>4601.2</v>
      </c>
    </row>
    <row r="147" spans="1:11" ht="15.75">
      <c r="A147" s="46" t="s">
        <v>63</v>
      </c>
      <c r="B147" s="41" t="s">
        <v>24</v>
      </c>
      <c r="C147" s="41" t="s">
        <v>15</v>
      </c>
      <c r="D147" s="41" t="s">
        <v>25</v>
      </c>
      <c r="E147" s="41" t="s">
        <v>12</v>
      </c>
      <c r="F147" s="42">
        <v>1</v>
      </c>
      <c r="G147" s="41" t="s">
        <v>315</v>
      </c>
      <c r="H147" s="41" t="s">
        <v>358</v>
      </c>
      <c r="I147" s="42"/>
      <c r="J147" s="192">
        <f>J148</f>
        <v>633.20000000000005</v>
      </c>
      <c r="K147" s="192">
        <f>K148</f>
        <v>633.20000000000005</v>
      </c>
    </row>
    <row r="148" spans="1:11" ht="31.5">
      <c r="A148" s="46" t="s">
        <v>137</v>
      </c>
      <c r="B148" s="41" t="s">
        <v>24</v>
      </c>
      <c r="C148" s="41" t="s">
        <v>15</v>
      </c>
      <c r="D148" s="41" t="s">
        <v>25</v>
      </c>
      <c r="E148" s="41" t="s">
        <v>12</v>
      </c>
      <c r="F148" s="42">
        <v>1</v>
      </c>
      <c r="G148" s="41" t="s">
        <v>315</v>
      </c>
      <c r="H148" s="41" t="s">
        <v>358</v>
      </c>
      <c r="I148" s="42">
        <v>240</v>
      </c>
      <c r="J148" s="192">
        <f>250+850-466.8</f>
        <v>633.20000000000005</v>
      </c>
      <c r="K148" s="192">
        <v>633.20000000000005</v>
      </c>
    </row>
    <row r="149" spans="1:11" s="9" customFormat="1" ht="15.75">
      <c r="A149" s="46" t="s">
        <v>64</v>
      </c>
      <c r="B149" s="42">
        <v>871</v>
      </c>
      <c r="C149" s="41" t="s">
        <v>15</v>
      </c>
      <c r="D149" s="41" t="s">
        <v>25</v>
      </c>
      <c r="E149" s="41" t="s">
        <v>12</v>
      </c>
      <c r="F149" s="42">
        <v>1</v>
      </c>
      <c r="G149" s="41" t="s">
        <v>315</v>
      </c>
      <c r="H149" s="41" t="s">
        <v>359</v>
      </c>
      <c r="I149" s="42"/>
      <c r="J149" s="192">
        <f>J150</f>
        <v>388.79999999999995</v>
      </c>
      <c r="K149" s="192">
        <f>K150</f>
        <v>388.8</v>
      </c>
    </row>
    <row r="150" spans="1:11" s="9" customFormat="1" ht="31.5">
      <c r="A150" s="46" t="s">
        <v>137</v>
      </c>
      <c r="B150" s="42">
        <v>871</v>
      </c>
      <c r="C150" s="41" t="s">
        <v>15</v>
      </c>
      <c r="D150" s="41" t="s">
        <v>25</v>
      </c>
      <c r="E150" s="41" t="s">
        <v>12</v>
      </c>
      <c r="F150" s="42">
        <v>1</v>
      </c>
      <c r="G150" s="41" t="s">
        <v>315</v>
      </c>
      <c r="H150" s="41" t="s">
        <v>359</v>
      </c>
      <c r="I150" s="42">
        <v>240</v>
      </c>
      <c r="J150" s="192">
        <f>82.3+300+193.1-101-85.8+0.2</f>
        <v>388.79999999999995</v>
      </c>
      <c r="K150" s="192">
        <v>388.8</v>
      </c>
    </row>
    <row r="151" spans="1:11" s="9" customFormat="1" ht="31.5">
      <c r="A151" s="46" t="s">
        <v>103</v>
      </c>
      <c r="B151" s="42">
        <v>871</v>
      </c>
      <c r="C151" s="41" t="s">
        <v>15</v>
      </c>
      <c r="D151" s="41" t="s">
        <v>25</v>
      </c>
      <c r="E151" s="41" t="s">
        <v>12</v>
      </c>
      <c r="F151" s="42">
        <v>1</v>
      </c>
      <c r="G151" s="41" t="s">
        <v>315</v>
      </c>
      <c r="H151" s="41" t="s">
        <v>360</v>
      </c>
      <c r="I151" s="42"/>
      <c r="J151" s="192">
        <f>J152</f>
        <v>9</v>
      </c>
      <c r="K151" s="192">
        <f>K152</f>
        <v>9</v>
      </c>
    </row>
    <row r="152" spans="1:11" s="9" customFormat="1" ht="31.5">
      <c r="A152" s="46" t="s">
        <v>137</v>
      </c>
      <c r="B152" s="42">
        <v>871</v>
      </c>
      <c r="C152" s="41" t="s">
        <v>15</v>
      </c>
      <c r="D152" s="41" t="s">
        <v>25</v>
      </c>
      <c r="E152" s="41" t="s">
        <v>12</v>
      </c>
      <c r="F152" s="42">
        <v>1</v>
      </c>
      <c r="G152" s="41" t="s">
        <v>315</v>
      </c>
      <c r="H152" s="41" t="s">
        <v>360</v>
      </c>
      <c r="I152" s="42">
        <v>240</v>
      </c>
      <c r="J152" s="192">
        <f>50-41</f>
        <v>9</v>
      </c>
      <c r="K152" s="192">
        <v>9</v>
      </c>
    </row>
    <row r="153" spans="1:11" s="9" customFormat="1" ht="15.75">
      <c r="A153" s="46" t="s">
        <v>136</v>
      </c>
      <c r="B153" s="42">
        <v>871</v>
      </c>
      <c r="C153" s="41" t="s">
        <v>15</v>
      </c>
      <c r="D153" s="41" t="s">
        <v>25</v>
      </c>
      <c r="E153" s="41" t="s">
        <v>12</v>
      </c>
      <c r="F153" s="42">
        <v>1</v>
      </c>
      <c r="G153" s="41" t="s">
        <v>315</v>
      </c>
      <c r="H153" s="41" t="s">
        <v>361</v>
      </c>
      <c r="I153" s="42"/>
      <c r="J153" s="192">
        <f>J154</f>
        <v>6600</v>
      </c>
      <c r="K153" s="192">
        <f>K154</f>
        <v>5763.9</v>
      </c>
    </row>
    <row r="154" spans="1:11" s="9" customFormat="1" ht="31.5">
      <c r="A154" s="46" t="s">
        <v>137</v>
      </c>
      <c r="B154" s="42">
        <v>871</v>
      </c>
      <c r="C154" s="41" t="s">
        <v>15</v>
      </c>
      <c r="D154" s="41" t="s">
        <v>25</v>
      </c>
      <c r="E154" s="41" t="s">
        <v>12</v>
      </c>
      <c r="F154" s="42">
        <v>1</v>
      </c>
      <c r="G154" s="41" t="s">
        <v>315</v>
      </c>
      <c r="H154" s="41" t="s">
        <v>361</v>
      </c>
      <c r="I154" s="42">
        <v>240</v>
      </c>
      <c r="J154" s="192">
        <v>6600</v>
      </c>
      <c r="K154" s="192">
        <v>5763.9</v>
      </c>
    </row>
    <row r="155" spans="1:11" s="9" customFormat="1" ht="31.5">
      <c r="A155" s="46" t="s">
        <v>93</v>
      </c>
      <c r="B155" s="42">
        <v>871</v>
      </c>
      <c r="C155" s="41" t="s">
        <v>15</v>
      </c>
      <c r="D155" s="41" t="s">
        <v>25</v>
      </c>
      <c r="E155" s="41" t="s">
        <v>12</v>
      </c>
      <c r="F155" s="42">
        <v>1</v>
      </c>
      <c r="G155" s="41" t="s">
        <v>315</v>
      </c>
      <c r="H155" s="41" t="s">
        <v>362</v>
      </c>
      <c r="I155" s="42"/>
      <c r="J155" s="192">
        <f>J156</f>
        <v>1482.3000000000002</v>
      </c>
      <c r="K155" s="192">
        <f>K156</f>
        <v>1482.3</v>
      </c>
    </row>
    <row r="156" spans="1:11" s="9" customFormat="1" ht="31.5">
      <c r="A156" s="46" t="s">
        <v>137</v>
      </c>
      <c r="B156" s="42">
        <v>871</v>
      </c>
      <c r="C156" s="41" t="s">
        <v>15</v>
      </c>
      <c r="D156" s="41" t="s">
        <v>25</v>
      </c>
      <c r="E156" s="41" t="s">
        <v>12</v>
      </c>
      <c r="F156" s="42">
        <v>1</v>
      </c>
      <c r="G156" s="41" t="s">
        <v>315</v>
      </c>
      <c r="H156" s="41" t="s">
        <v>362</v>
      </c>
      <c r="I156" s="42">
        <v>240</v>
      </c>
      <c r="J156" s="192">
        <f>2990+730.3-2000-238</f>
        <v>1482.3000000000002</v>
      </c>
      <c r="K156" s="192">
        <v>1482.3</v>
      </c>
    </row>
    <row r="157" spans="1:11" s="9" customFormat="1" ht="15.75">
      <c r="A157" s="46" t="s">
        <v>528</v>
      </c>
      <c r="B157" s="42">
        <v>871</v>
      </c>
      <c r="C157" s="41" t="s">
        <v>15</v>
      </c>
      <c r="D157" s="41" t="s">
        <v>36</v>
      </c>
      <c r="E157" s="41"/>
      <c r="F157" s="41"/>
      <c r="G157" s="41"/>
      <c r="H157" s="41"/>
      <c r="I157" s="42" t="s">
        <v>8</v>
      </c>
      <c r="J157" s="192">
        <f t="shared" ref="J157:K160" si="9">J158</f>
        <v>47.1</v>
      </c>
      <c r="K157" s="192">
        <f t="shared" si="9"/>
        <v>47.1</v>
      </c>
    </row>
    <row r="158" spans="1:11" s="9" customFormat="1" ht="15.75">
      <c r="A158" s="46" t="s">
        <v>58</v>
      </c>
      <c r="B158" s="42">
        <v>871</v>
      </c>
      <c r="C158" s="41" t="s">
        <v>15</v>
      </c>
      <c r="D158" s="41" t="s">
        <v>36</v>
      </c>
      <c r="E158" s="41" t="s">
        <v>45</v>
      </c>
      <c r="F158" s="42">
        <v>0</v>
      </c>
      <c r="G158" s="41" t="s">
        <v>315</v>
      </c>
      <c r="H158" s="41" t="s">
        <v>423</v>
      </c>
      <c r="I158" s="42"/>
      <c r="J158" s="192">
        <f t="shared" si="9"/>
        <v>47.1</v>
      </c>
      <c r="K158" s="192">
        <f t="shared" si="9"/>
        <v>47.1</v>
      </c>
    </row>
    <row r="159" spans="1:11" s="9" customFormat="1" ht="15.75">
      <c r="A159" s="46" t="s">
        <v>59</v>
      </c>
      <c r="B159" s="41" t="s">
        <v>24</v>
      </c>
      <c r="C159" s="41" t="s">
        <v>15</v>
      </c>
      <c r="D159" s="41" t="s">
        <v>36</v>
      </c>
      <c r="E159" s="41" t="s">
        <v>45</v>
      </c>
      <c r="F159" s="42">
        <v>9</v>
      </c>
      <c r="G159" s="41" t="s">
        <v>315</v>
      </c>
      <c r="H159" s="41" t="s">
        <v>423</v>
      </c>
      <c r="I159" s="42"/>
      <c r="J159" s="192">
        <f t="shared" si="9"/>
        <v>47.1</v>
      </c>
      <c r="K159" s="192">
        <f t="shared" si="9"/>
        <v>47.1</v>
      </c>
    </row>
    <row r="160" spans="1:11" s="9" customFormat="1" ht="31.5">
      <c r="A160" s="46" t="s">
        <v>529</v>
      </c>
      <c r="B160" s="41" t="s">
        <v>24</v>
      </c>
      <c r="C160" s="41" t="s">
        <v>15</v>
      </c>
      <c r="D160" s="41" t="s">
        <v>36</v>
      </c>
      <c r="E160" s="41" t="s">
        <v>45</v>
      </c>
      <c r="F160" s="42">
        <v>9</v>
      </c>
      <c r="G160" s="41" t="s">
        <v>315</v>
      </c>
      <c r="H160" s="41" t="s">
        <v>530</v>
      </c>
      <c r="I160" s="42"/>
      <c r="J160" s="192">
        <f t="shared" si="9"/>
        <v>47.1</v>
      </c>
      <c r="K160" s="192">
        <f t="shared" si="9"/>
        <v>47.1</v>
      </c>
    </row>
    <row r="161" spans="1:11" s="9" customFormat="1" ht="31.5">
      <c r="A161" s="46" t="s">
        <v>137</v>
      </c>
      <c r="B161" s="41" t="s">
        <v>24</v>
      </c>
      <c r="C161" s="41" t="s">
        <v>15</v>
      </c>
      <c r="D161" s="41" t="s">
        <v>36</v>
      </c>
      <c r="E161" s="41" t="s">
        <v>45</v>
      </c>
      <c r="F161" s="42">
        <v>9</v>
      </c>
      <c r="G161" s="41" t="s">
        <v>315</v>
      </c>
      <c r="H161" s="41" t="s">
        <v>530</v>
      </c>
      <c r="I161" s="42">
        <v>240</v>
      </c>
      <c r="J161" s="192">
        <f>70.7-23.6</f>
        <v>47.1</v>
      </c>
      <c r="K161" s="192">
        <v>47.1</v>
      </c>
    </row>
    <row r="162" spans="1:11" s="9" customFormat="1" ht="15.75">
      <c r="A162" s="40" t="s">
        <v>42</v>
      </c>
      <c r="B162" s="42">
        <v>871</v>
      </c>
      <c r="C162" s="41" t="s">
        <v>15</v>
      </c>
      <c r="D162" s="41" t="s">
        <v>43</v>
      </c>
      <c r="E162" s="41"/>
      <c r="F162" s="41"/>
      <c r="G162" s="41"/>
      <c r="H162" s="41"/>
      <c r="I162" s="42" t="s">
        <v>8</v>
      </c>
      <c r="J162" s="201">
        <f t="shared" ref="J162:K164" si="10">J163</f>
        <v>37</v>
      </c>
      <c r="K162" s="201">
        <f t="shared" si="10"/>
        <v>37</v>
      </c>
    </row>
    <row r="163" spans="1:11" s="9" customFormat="1" ht="47.25">
      <c r="A163" s="46" t="s">
        <v>443</v>
      </c>
      <c r="B163" s="42">
        <v>871</v>
      </c>
      <c r="C163" s="41" t="s">
        <v>15</v>
      </c>
      <c r="D163" s="41" t="s">
        <v>43</v>
      </c>
      <c r="E163" s="41" t="s">
        <v>15</v>
      </c>
      <c r="F163" s="42">
        <v>0</v>
      </c>
      <c r="G163" s="41" t="s">
        <v>315</v>
      </c>
      <c r="H163" s="41" t="s">
        <v>423</v>
      </c>
      <c r="I163" s="42"/>
      <c r="J163" s="192">
        <f t="shared" si="10"/>
        <v>37</v>
      </c>
      <c r="K163" s="192">
        <f t="shared" si="10"/>
        <v>37</v>
      </c>
    </row>
    <row r="164" spans="1:11" s="9" customFormat="1" ht="15.75">
      <c r="A164" s="46" t="s">
        <v>114</v>
      </c>
      <c r="B164" s="41" t="s">
        <v>24</v>
      </c>
      <c r="C164" s="41" t="s">
        <v>15</v>
      </c>
      <c r="D164" s="41" t="s">
        <v>43</v>
      </c>
      <c r="E164" s="41" t="s">
        <v>15</v>
      </c>
      <c r="F164" s="42">
        <v>0</v>
      </c>
      <c r="G164" s="41" t="s">
        <v>315</v>
      </c>
      <c r="H164" s="41" t="s">
        <v>363</v>
      </c>
      <c r="I164" s="42"/>
      <c r="J164" s="192">
        <f t="shared" si="10"/>
        <v>37</v>
      </c>
      <c r="K164" s="192">
        <f t="shared" si="10"/>
        <v>37</v>
      </c>
    </row>
    <row r="165" spans="1:11" ht="47.25">
      <c r="A165" s="46" t="s">
        <v>531</v>
      </c>
      <c r="B165" s="41" t="s">
        <v>24</v>
      </c>
      <c r="C165" s="41" t="s">
        <v>15</v>
      </c>
      <c r="D165" s="41" t="s">
        <v>43</v>
      </c>
      <c r="E165" s="41" t="s">
        <v>15</v>
      </c>
      <c r="F165" s="42">
        <v>0</v>
      </c>
      <c r="G165" s="41" t="s">
        <v>315</v>
      </c>
      <c r="H165" s="41" t="s">
        <v>363</v>
      </c>
      <c r="I165" s="42">
        <v>810</v>
      </c>
      <c r="J165" s="192">
        <f>7+30</f>
        <v>37</v>
      </c>
      <c r="K165" s="192">
        <v>37</v>
      </c>
    </row>
    <row r="166" spans="1:11" ht="15.75">
      <c r="A166" s="202" t="s">
        <v>532</v>
      </c>
      <c r="B166" s="41" t="s">
        <v>24</v>
      </c>
      <c r="C166" s="41" t="s">
        <v>16</v>
      </c>
      <c r="D166" s="42" t="s">
        <v>9</v>
      </c>
      <c r="E166" s="41"/>
      <c r="F166" s="42"/>
      <c r="G166" s="41"/>
      <c r="H166" s="41"/>
      <c r="I166" s="42"/>
      <c r="J166" s="192">
        <f>J167+J179+J184+J219</f>
        <v>73424.100000000006</v>
      </c>
      <c r="K166" s="192">
        <f>K167+K179+K184+K219</f>
        <v>47813.8</v>
      </c>
    </row>
    <row r="167" spans="1:11" ht="15.75">
      <c r="A167" s="40" t="s">
        <v>17</v>
      </c>
      <c r="B167" s="41" t="s">
        <v>24</v>
      </c>
      <c r="C167" s="41" t="s">
        <v>16</v>
      </c>
      <c r="D167" s="42" t="s">
        <v>11</v>
      </c>
      <c r="E167" s="41" t="s">
        <v>315</v>
      </c>
      <c r="F167" s="42">
        <v>0</v>
      </c>
      <c r="G167" s="41" t="s">
        <v>315</v>
      </c>
      <c r="H167" s="41" t="s">
        <v>423</v>
      </c>
      <c r="I167" s="42"/>
      <c r="J167" s="192">
        <f>J168+J175</f>
        <v>14430.300000000001</v>
      </c>
      <c r="K167" s="192">
        <f>K168+K175</f>
        <v>1274.2</v>
      </c>
    </row>
    <row r="168" spans="1:11" ht="47.25">
      <c r="A168" s="46" t="s">
        <v>445</v>
      </c>
      <c r="B168" s="41" t="s">
        <v>24</v>
      </c>
      <c r="C168" s="41" t="s">
        <v>16</v>
      </c>
      <c r="D168" s="41" t="s">
        <v>11</v>
      </c>
      <c r="E168" s="41" t="s">
        <v>16</v>
      </c>
      <c r="F168" s="42">
        <v>0</v>
      </c>
      <c r="G168" s="41" t="s">
        <v>315</v>
      </c>
      <c r="H168" s="41" t="s">
        <v>423</v>
      </c>
      <c r="I168" s="42"/>
      <c r="J168" s="192">
        <f>J169+J172</f>
        <v>13061.900000000001</v>
      </c>
      <c r="K168" s="192">
        <f>K169+K172</f>
        <v>74.8</v>
      </c>
    </row>
    <row r="169" spans="1:11" ht="31.5">
      <c r="A169" s="46" t="s">
        <v>65</v>
      </c>
      <c r="B169" s="41" t="s">
        <v>24</v>
      </c>
      <c r="C169" s="41" t="s">
        <v>16</v>
      </c>
      <c r="D169" s="41" t="s">
        <v>11</v>
      </c>
      <c r="E169" s="41" t="s">
        <v>16</v>
      </c>
      <c r="F169" s="42">
        <v>1</v>
      </c>
      <c r="G169" s="41" t="s">
        <v>315</v>
      </c>
      <c r="H169" s="41" t="s">
        <v>423</v>
      </c>
      <c r="I169" s="42"/>
      <c r="J169" s="192">
        <f>J170</f>
        <v>142</v>
      </c>
      <c r="K169" s="192">
        <f>K170</f>
        <v>74.8</v>
      </c>
    </row>
    <row r="170" spans="1:11" ht="15.75">
      <c r="A170" s="46" t="s">
        <v>139</v>
      </c>
      <c r="B170" s="41" t="s">
        <v>24</v>
      </c>
      <c r="C170" s="41" t="s">
        <v>16</v>
      </c>
      <c r="D170" s="41" t="s">
        <v>11</v>
      </c>
      <c r="E170" s="41" t="s">
        <v>16</v>
      </c>
      <c r="F170" s="42">
        <v>1</v>
      </c>
      <c r="G170" s="41" t="s">
        <v>315</v>
      </c>
      <c r="H170" s="41" t="s">
        <v>364</v>
      </c>
      <c r="I170" s="42"/>
      <c r="J170" s="192">
        <f>J171</f>
        <v>142</v>
      </c>
      <c r="K170" s="192">
        <f>K171</f>
        <v>74.8</v>
      </c>
    </row>
    <row r="171" spans="1:11" ht="31.5">
      <c r="A171" s="46" t="s">
        <v>137</v>
      </c>
      <c r="B171" s="41" t="s">
        <v>24</v>
      </c>
      <c r="C171" s="41" t="s">
        <v>16</v>
      </c>
      <c r="D171" s="41" t="s">
        <v>11</v>
      </c>
      <c r="E171" s="41" t="s">
        <v>16</v>
      </c>
      <c r="F171" s="42">
        <v>1</v>
      </c>
      <c r="G171" s="41" t="s">
        <v>315</v>
      </c>
      <c r="H171" s="41" t="s">
        <v>364</v>
      </c>
      <c r="I171" s="42">
        <v>240</v>
      </c>
      <c r="J171" s="192">
        <f>215-65-8</f>
        <v>142</v>
      </c>
      <c r="K171" s="192">
        <v>74.8</v>
      </c>
    </row>
    <row r="172" spans="1:11" ht="47.25">
      <c r="A172" s="46" t="s">
        <v>365</v>
      </c>
      <c r="B172" s="41" t="s">
        <v>24</v>
      </c>
      <c r="C172" s="41" t="s">
        <v>16</v>
      </c>
      <c r="D172" s="41" t="s">
        <v>11</v>
      </c>
      <c r="E172" s="41" t="s">
        <v>16</v>
      </c>
      <c r="F172" s="42">
        <v>6</v>
      </c>
      <c r="G172" s="41" t="s">
        <v>315</v>
      </c>
      <c r="H172" s="41" t="s">
        <v>423</v>
      </c>
      <c r="I172" s="42"/>
      <c r="J172" s="192">
        <f>J173</f>
        <v>12919.900000000001</v>
      </c>
      <c r="K172" s="192">
        <f>K173</f>
        <v>0</v>
      </c>
    </row>
    <row r="173" spans="1:11" ht="15.75">
      <c r="A173" s="46" t="s">
        <v>134</v>
      </c>
      <c r="B173" s="41" t="s">
        <v>24</v>
      </c>
      <c r="C173" s="41" t="s">
        <v>16</v>
      </c>
      <c r="D173" s="41" t="s">
        <v>11</v>
      </c>
      <c r="E173" s="41" t="s">
        <v>16</v>
      </c>
      <c r="F173" s="42">
        <v>6</v>
      </c>
      <c r="G173" s="41" t="s">
        <v>315</v>
      </c>
      <c r="H173" s="41" t="s">
        <v>366</v>
      </c>
      <c r="I173" s="42"/>
      <c r="J173" s="192">
        <f>J174</f>
        <v>12919.900000000001</v>
      </c>
      <c r="K173" s="192">
        <f>K174</f>
        <v>0</v>
      </c>
    </row>
    <row r="174" spans="1:11" ht="15.75">
      <c r="A174" s="46" t="s">
        <v>446</v>
      </c>
      <c r="B174" s="41" t="s">
        <v>24</v>
      </c>
      <c r="C174" s="41" t="s">
        <v>16</v>
      </c>
      <c r="D174" s="41" t="s">
        <v>11</v>
      </c>
      <c r="E174" s="41" t="s">
        <v>16</v>
      </c>
      <c r="F174" s="42">
        <v>6</v>
      </c>
      <c r="G174" s="41" t="s">
        <v>315</v>
      </c>
      <c r="H174" s="41" t="s">
        <v>366</v>
      </c>
      <c r="I174" s="42">
        <v>410</v>
      </c>
      <c r="J174" s="192">
        <f>11531.1+692.1+696.7</f>
        <v>12919.900000000001</v>
      </c>
      <c r="K174" s="192">
        <v>0</v>
      </c>
    </row>
    <row r="175" spans="1:11" ht="15.75">
      <c r="A175" s="46" t="s">
        <v>58</v>
      </c>
      <c r="B175" s="41" t="s">
        <v>24</v>
      </c>
      <c r="C175" s="41" t="s">
        <v>16</v>
      </c>
      <c r="D175" s="42" t="s">
        <v>11</v>
      </c>
      <c r="E175" s="41" t="s">
        <v>45</v>
      </c>
      <c r="F175" s="42">
        <v>0</v>
      </c>
      <c r="G175" s="41" t="s">
        <v>315</v>
      </c>
      <c r="H175" s="41" t="s">
        <v>423</v>
      </c>
      <c r="I175" s="42"/>
      <c r="J175" s="192">
        <f t="shared" ref="J175:K177" si="11">J176</f>
        <v>1368.4</v>
      </c>
      <c r="K175" s="192">
        <f t="shared" si="11"/>
        <v>1199.4000000000001</v>
      </c>
    </row>
    <row r="176" spans="1:11" ht="15.75">
      <c r="A176" s="46" t="s">
        <v>59</v>
      </c>
      <c r="B176" s="41" t="s">
        <v>24</v>
      </c>
      <c r="C176" s="41" t="s">
        <v>16</v>
      </c>
      <c r="D176" s="42" t="s">
        <v>11</v>
      </c>
      <c r="E176" s="41" t="s">
        <v>45</v>
      </c>
      <c r="F176" s="42">
        <v>9</v>
      </c>
      <c r="G176" s="41" t="s">
        <v>315</v>
      </c>
      <c r="H176" s="41" t="s">
        <v>423</v>
      </c>
      <c r="I176" s="42"/>
      <c r="J176" s="192">
        <f t="shared" si="11"/>
        <v>1368.4</v>
      </c>
      <c r="K176" s="192">
        <f t="shared" si="11"/>
        <v>1199.4000000000001</v>
      </c>
    </row>
    <row r="177" spans="1:11" ht="47.25">
      <c r="A177" s="46" t="s">
        <v>112</v>
      </c>
      <c r="B177" s="41" t="s">
        <v>24</v>
      </c>
      <c r="C177" s="41" t="s">
        <v>16</v>
      </c>
      <c r="D177" s="42" t="s">
        <v>11</v>
      </c>
      <c r="E177" s="41" t="s">
        <v>45</v>
      </c>
      <c r="F177" s="42">
        <v>9</v>
      </c>
      <c r="G177" s="41" t="s">
        <v>315</v>
      </c>
      <c r="H177" s="41" t="s">
        <v>367</v>
      </c>
      <c r="I177" s="42"/>
      <c r="J177" s="192">
        <f t="shared" si="11"/>
        <v>1368.4</v>
      </c>
      <c r="K177" s="192">
        <f t="shared" si="11"/>
        <v>1199.4000000000001</v>
      </c>
    </row>
    <row r="178" spans="1:11" ht="31.5">
      <c r="A178" s="46" t="s">
        <v>137</v>
      </c>
      <c r="B178" s="41" t="s">
        <v>24</v>
      </c>
      <c r="C178" s="41" t="s">
        <v>16</v>
      </c>
      <c r="D178" s="42" t="s">
        <v>11</v>
      </c>
      <c r="E178" s="41" t="s">
        <v>45</v>
      </c>
      <c r="F178" s="42">
        <v>9</v>
      </c>
      <c r="G178" s="41" t="s">
        <v>315</v>
      </c>
      <c r="H178" s="41" t="s">
        <v>367</v>
      </c>
      <c r="I178" s="42">
        <v>240</v>
      </c>
      <c r="J178" s="192">
        <v>1368.4</v>
      </c>
      <c r="K178" s="192">
        <v>1199.4000000000001</v>
      </c>
    </row>
    <row r="179" spans="1:11" ht="15.75">
      <c r="A179" s="40" t="s">
        <v>35</v>
      </c>
      <c r="B179" s="41" t="s">
        <v>24</v>
      </c>
      <c r="C179" s="41" t="s">
        <v>16</v>
      </c>
      <c r="D179" s="41" t="s">
        <v>13</v>
      </c>
      <c r="E179" s="41"/>
      <c r="F179" s="42"/>
      <c r="G179" s="41"/>
      <c r="H179" s="41"/>
      <c r="I179" s="204"/>
      <c r="J179" s="192">
        <f t="shared" ref="J179:K182" si="12">J180</f>
        <v>24.4</v>
      </c>
      <c r="K179" s="192">
        <f t="shared" si="12"/>
        <v>24.3</v>
      </c>
    </row>
    <row r="180" spans="1:11" ht="15.75">
      <c r="A180" s="46" t="s">
        <v>0</v>
      </c>
      <c r="B180" s="41" t="s">
        <v>24</v>
      </c>
      <c r="C180" s="41" t="s">
        <v>16</v>
      </c>
      <c r="D180" s="41" t="s">
        <v>13</v>
      </c>
      <c r="E180" s="41" t="s">
        <v>534</v>
      </c>
      <c r="F180" s="42">
        <v>0</v>
      </c>
      <c r="G180" s="41" t="s">
        <v>315</v>
      </c>
      <c r="H180" s="41" t="s">
        <v>423</v>
      </c>
      <c r="I180" s="204"/>
      <c r="J180" s="192">
        <f t="shared" si="12"/>
        <v>24.4</v>
      </c>
      <c r="K180" s="192">
        <f t="shared" si="12"/>
        <v>24.3</v>
      </c>
    </row>
    <row r="181" spans="1:11" ht="15.75">
      <c r="A181" s="40" t="s">
        <v>1</v>
      </c>
      <c r="B181" s="41" t="s">
        <v>24</v>
      </c>
      <c r="C181" s="41" t="s">
        <v>16</v>
      </c>
      <c r="D181" s="41" t="s">
        <v>13</v>
      </c>
      <c r="E181" s="41" t="s">
        <v>534</v>
      </c>
      <c r="F181" s="42">
        <v>1</v>
      </c>
      <c r="G181" s="41" t="s">
        <v>315</v>
      </c>
      <c r="H181" s="41" t="s">
        <v>423</v>
      </c>
      <c r="I181" s="204"/>
      <c r="J181" s="192">
        <f t="shared" si="12"/>
        <v>24.4</v>
      </c>
      <c r="K181" s="192">
        <f t="shared" si="12"/>
        <v>24.3</v>
      </c>
    </row>
    <row r="182" spans="1:11" ht="15.75">
      <c r="A182" s="40" t="s">
        <v>1</v>
      </c>
      <c r="B182" s="41" t="s">
        <v>24</v>
      </c>
      <c r="C182" s="41" t="s">
        <v>16</v>
      </c>
      <c r="D182" s="41" t="s">
        <v>13</v>
      </c>
      <c r="E182" s="41" t="s">
        <v>534</v>
      </c>
      <c r="F182" s="42">
        <v>1</v>
      </c>
      <c r="G182" s="41" t="s">
        <v>315</v>
      </c>
      <c r="H182" s="205">
        <v>28810</v>
      </c>
      <c r="I182" s="204"/>
      <c r="J182" s="192">
        <f t="shared" si="12"/>
        <v>24.4</v>
      </c>
      <c r="K182" s="192">
        <f t="shared" si="12"/>
        <v>24.3</v>
      </c>
    </row>
    <row r="183" spans="1:11" ht="31.5">
      <c r="A183" s="46" t="s">
        <v>137</v>
      </c>
      <c r="B183" s="41" t="s">
        <v>24</v>
      </c>
      <c r="C183" s="41" t="s">
        <v>16</v>
      </c>
      <c r="D183" s="41" t="s">
        <v>13</v>
      </c>
      <c r="E183" s="41" t="s">
        <v>534</v>
      </c>
      <c r="F183" s="42">
        <v>1</v>
      </c>
      <c r="G183" s="41" t="s">
        <v>315</v>
      </c>
      <c r="H183" s="205">
        <v>28810</v>
      </c>
      <c r="I183" s="205">
        <v>240</v>
      </c>
      <c r="J183" s="192">
        <f>24.4</f>
        <v>24.4</v>
      </c>
      <c r="K183" s="192">
        <v>24.3</v>
      </c>
    </row>
    <row r="184" spans="1:11" ht="15.75">
      <c r="A184" s="40" t="s">
        <v>3</v>
      </c>
      <c r="B184" s="41" t="s">
        <v>24</v>
      </c>
      <c r="C184" s="41" t="s">
        <v>16</v>
      </c>
      <c r="D184" s="42" t="s">
        <v>12</v>
      </c>
      <c r="E184" s="41" t="s">
        <v>10</v>
      </c>
      <c r="F184" s="42"/>
      <c r="G184" s="41"/>
      <c r="H184" s="41"/>
      <c r="I184" s="42"/>
      <c r="J184" s="201">
        <f>J185+J214</f>
        <v>37466</v>
      </c>
      <c r="K184" s="201">
        <f>K185+K214</f>
        <v>29026.000000000004</v>
      </c>
    </row>
    <row r="185" spans="1:11" ht="31.5">
      <c r="A185" s="40" t="s">
        <v>441</v>
      </c>
      <c r="B185" s="41" t="s">
        <v>24</v>
      </c>
      <c r="C185" s="41" t="s">
        <v>16</v>
      </c>
      <c r="D185" s="41" t="s">
        <v>12</v>
      </c>
      <c r="E185" s="41" t="s">
        <v>12</v>
      </c>
      <c r="F185" s="42">
        <v>0</v>
      </c>
      <c r="G185" s="41" t="s">
        <v>315</v>
      </c>
      <c r="H185" s="41" t="s">
        <v>423</v>
      </c>
      <c r="I185" s="42"/>
      <c r="J185" s="192">
        <f>J186+J193</f>
        <v>36138.1</v>
      </c>
      <c r="K185" s="192">
        <f>K186+K193</f>
        <v>27854.700000000004</v>
      </c>
    </row>
    <row r="186" spans="1:11" ht="31.5">
      <c r="A186" s="46" t="s">
        <v>67</v>
      </c>
      <c r="B186" s="41" t="s">
        <v>24</v>
      </c>
      <c r="C186" s="41" t="s">
        <v>16</v>
      </c>
      <c r="D186" s="41" t="s">
        <v>12</v>
      </c>
      <c r="E186" s="41" t="s">
        <v>12</v>
      </c>
      <c r="F186" s="42">
        <v>2</v>
      </c>
      <c r="G186" s="41" t="s">
        <v>315</v>
      </c>
      <c r="H186" s="41" t="s">
        <v>423</v>
      </c>
      <c r="I186" s="42"/>
      <c r="J186" s="192">
        <f>J187+J189+J191</f>
        <v>11782.4</v>
      </c>
      <c r="K186" s="192">
        <f>K187+K189+K191</f>
        <v>7423.4</v>
      </c>
    </row>
    <row r="187" spans="1:11" ht="15.75">
      <c r="A187" s="46" t="s">
        <v>535</v>
      </c>
      <c r="B187" s="41" t="s">
        <v>24</v>
      </c>
      <c r="C187" s="41" t="s">
        <v>16</v>
      </c>
      <c r="D187" s="41" t="s">
        <v>12</v>
      </c>
      <c r="E187" s="41" t="s">
        <v>12</v>
      </c>
      <c r="F187" s="42">
        <v>2</v>
      </c>
      <c r="G187" s="41" t="s">
        <v>315</v>
      </c>
      <c r="H187" s="41" t="s">
        <v>536</v>
      </c>
      <c r="I187" s="42"/>
      <c r="J187" s="192">
        <f>J188</f>
        <v>50</v>
      </c>
      <c r="K187" s="192">
        <f>K188</f>
        <v>45</v>
      </c>
    </row>
    <row r="188" spans="1:11" ht="31.5">
      <c r="A188" s="46" t="s">
        <v>137</v>
      </c>
      <c r="B188" s="41" t="s">
        <v>24</v>
      </c>
      <c r="C188" s="41" t="s">
        <v>16</v>
      </c>
      <c r="D188" s="41" t="s">
        <v>12</v>
      </c>
      <c r="E188" s="41" t="s">
        <v>12</v>
      </c>
      <c r="F188" s="42">
        <v>2</v>
      </c>
      <c r="G188" s="41" t="s">
        <v>315</v>
      </c>
      <c r="H188" s="41" t="s">
        <v>536</v>
      </c>
      <c r="I188" s="42">
        <v>240</v>
      </c>
      <c r="J188" s="192">
        <v>50</v>
      </c>
      <c r="K188" s="192">
        <v>45</v>
      </c>
    </row>
    <row r="189" spans="1:11" ht="31.5">
      <c r="A189" s="46" t="s">
        <v>68</v>
      </c>
      <c r="B189" s="41" t="s">
        <v>24</v>
      </c>
      <c r="C189" s="41" t="s">
        <v>16</v>
      </c>
      <c r="D189" s="41" t="s">
        <v>12</v>
      </c>
      <c r="E189" s="41" t="s">
        <v>12</v>
      </c>
      <c r="F189" s="42">
        <v>2</v>
      </c>
      <c r="G189" s="41" t="s">
        <v>315</v>
      </c>
      <c r="H189" s="41" t="s">
        <v>368</v>
      </c>
      <c r="I189" s="42"/>
      <c r="J189" s="192">
        <f>J190</f>
        <v>8632.4</v>
      </c>
      <c r="K189" s="192">
        <f>K190</f>
        <v>4278.3999999999996</v>
      </c>
    </row>
    <row r="190" spans="1:11" ht="31.5">
      <c r="A190" s="46" t="s">
        <v>137</v>
      </c>
      <c r="B190" s="41" t="s">
        <v>24</v>
      </c>
      <c r="C190" s="41" t="s">
        <v>16</v>
      </c>
      <c r="D190" s="41" t="s">
        <v>12</v>
      </c>
      <c r="E190" s="41" t="s">
        <v>12</v>
      </c>
      <c r="F190" s="42">
        <v>2</v>
      </c>
      <c r="G190" s="41" t="s">
        <v>315</v>
      </c>
      <c r="H190" s="41" t="s">
        <v>368</v>
      </c>
      <c r="I190" s="42">
        <v>240</v>
      </c>
      <c r="J190" s="192">
        <f>8892.1-450+190.3</f>
        <v>8632.4</v>
      </c>
      <c r="K190" s="192">
        <v>4278.3999999999996</v>
      </c>
    </row>
    <row r="191" spans="1:11" ht="15.75">
      <c r="A191" s="46" t="s">
        <v>71</v>
      </c>
      <c r="B191" s="41" t="s">
        <v>24</v>
      </c>
      <c r="C191" s="41" t="s">
        <v>16</v>
      </c>
      <c r="D191" s="41" t="s">
        <v>12</v>
      </c>
      <c r="E191" s="41" t="s">
        <v>12</v>
      </c>
      <c r="F191" s="42">
        <v>2</v>
      </c>
      <c r="G191" s="41" t="s">
        <v>315</v>
      </c>
      <c r="H191" s="41" t="s">
        <v>369</v>
      </c>
      <c r="I191" s="42"/>
      <c r="J191" s="192">
        <f>J192</f>
        <v>3100</v>
      </c>
      <c r="K191" s="192">
        <f>K192</f>
        <v>3100</v>
      </c>
    </row>
    <row r="192" spans="1:11" ht="31.5">
      <c r="A192" s="46" t="s">
        <v>137</v>
      </c>
      <c r="B192" s="41" t="s">
        <v>24</v>
      </c>
      <c r="C192" s="41" t="s">
        <v>16</v>
      </c>
      <c r="D192" s="41" t="s">
        <v>12</v>
      </c>
      <c r="E192" s="41" t="s">
        <v>12</v>
      </c>
      <c r="F192" s="42">
        <v>2</v>
      </c>
      <c r="G192" s="41" t="s">
        <v>315</v>
      </c>
      <c r="H192" s="41" t="s">
        <v>369</v>
      </c>
      <c r="I192" s="42">
        <v>240</v>
      </c>
      <c r="J192" s="192">
        <f>2500+400+200</f>
        <v>3100</v>
      </c>
      <c r="K192" s="192">
        <v>3100</v>
      </c>
    </row>
    <row r="193" spans="1:11" ht="31.5">
      <c r="A193" s="46" t="s">
        <v>69</v>
      </c>
      <c r="B193" s="41" t="s">
        <v>24</v>
      </c>
      <c r="C193" s="41" t="s">
        <v>16</v>
      </c>
      <c r="D193" s="41" t="s">
        <v>12</v>
      </c>
      <c r="E193" s="41" t="s">
        <v>12</v>
      </c>
      <c r="F193" s="42">
        <v>3</v>
      </c>
      <c r="G193" s="41" t="s">
        <v>315</v>
      </c>
      <c r="H193" s="41" t="s">
        <v>423</v>
      </c>
      <c r="I193" s="42"/>
      <c r="J193" s="192">
        <f>J194+J196+J198+J200+J202+J204+J206+J208+J210+J212</f>
        <v>24355.7</v>
      </c>
      <c r="K193" s="192">
        <f>K194+K196+K198+K200+K202+K204+K206+K208+K210+K212</f>
        <v>20431.300000000003</v>
      </c>
    </row>
    <row r="194" spans="1:11" ht="15.75">
      <c r="A194" s="46" t="s">
        <v>64</v>
      </c>
      <c r="B194" s="41" t="s">
        <v>24</v>
      </c>
      <c r="C194" s="41" t="s">
        <v>16</v>
      </c>
      <c r="D194" s="41" t="s">
        <v>12</v>
      </c>
      <c r="E194" s="41" t="s">
        <v>12</v>
      </c>
      <c r="F194" s="42">
        <v>3</v>
      </c>
      <c r="G194" s="41" t="s">
        <v>315</v>
      </c>
      <c r="H194" s="41" t="s">
        <v>359</v>
      </c>
      <c r="I194" s="42"/>
      <c r="J194" s="192">
        <f>J195</f>
        <v>569</v>
      </c>
      <c r="K194" s="192">
        <f>K195</f>
        <v>436.3</v>
      </c>
    </row>
    <row r="195" spans="1:11" ht="31.5">
      <c r="A195" s="46" t="s">
        <v>137</v>
      </c>
      <c r="B195" s="41" t="s">
        <v>24</v>
      </c>
      <c r="C195" s="41" t="s">
        <v>16</v>
      </c>
      <c r="D195" s="41" t="s">
        <v>12</v>
      </c>
      <c r="E195" s="41" t="s">
        <v>12</v>
      </c>
      <c r="F195" s="42">
        <v>3</v>
      </c>
      <c r="G195" s="41" t="s">
        <v>315</v>
      </c>
      <c r="H195" s="41" t="s">
        <v>359</v>
      </c>
      <c r="I195" s="42">
        <v>240</v>
      </c>
      <c r="J195" s="192">
        <f>1000-431</f>
        <v>569</v>
      </c>
      <c r="K195" s="192">
        <v>436.3</v>
      </c>
    </row>
    <row r="196" spans="1:11" ht="15.75">
      <c r="A196" s="46" t="s">
        <v>70</v>
      </c>
      <c r="B196" s="41" t="s">
        <v>24</v>
      </c>
      <c r="C196" s="41" t="s">
        <v>16</v>
      </c>
      <c r="D196" s="41" t="s">
        <v>12</v>
      </c>
      <c r="E196" s="41" t="s">
        <v>12</v>
      </c>
      <c r="F196" s="42">
        <v>3</v>
      </c>
      <c r="G196" s="41" t="s">
        <v>315</v>
      </c>
      <c r="H196" s="41" t="s">
        <v>370</v>
      </c>
      <c r="I196" s="42"/>
      <c r="J196" s="192">
        <f>J197</f>
        <v>779.1</v>
      </c>
      <c r="K196" s="192">
        <f>K197</f>
        <v>779</v>
      </c>
    </row>
    <row r="197" spans="1:11" ht="31.5">
      <c r="A197" s="46" t="s">
        <v>137</v>
      </c>
      <c r="B197" s="41" t="s">
        <v>24</v>
      </c>
      <c r="C197" s="41" t="s">
        <v>16</v>
      </c>
      <c r="D197" s="41" t="s">
        <v>12</v>
      </c>
      <c r="E197" s="41" t="s">
        <v>12</v>
      </c>
      <c r="F197" s="42">
        <v>3</v>
      </c>
      <c r="G197" s="41" t="s">
        <v>315</v>
      </c>
      <c r="H197" s="41" t="s">
        <v>370</v>
      </c>
      <c r="I197" s="42">
        <v>240</v>
      </c>
      <c r="J197" s="192">
        <f>1000-220.9</f>
        <v>779.1</v>
      </c>
      <c r="K197" s="192">
        <v>779</v>
      </c>
    </row>
    <row r="198" spans="1:11" ht="15.75">
      <c r="A198" s="46" t="s">
        <v>72</v>
      </c>
      <c r="B198" s="41" t="s">
        <v>24</v>
      </c>
      <c r="C198" s="41" t="s">
        <v>16</v>
      </c>
      <c r="D198" s="41" t="s">
        <v>12</v>
      </c>
      <c r="E198" s="41" t="s">
        <v>12</v>
      </c>
      <c r="F198" s="42">
        <v>3</v>
      </c>
      <c r="G198" s="41" t="s">
        <v>315</v>
      </c>
      <c r="H198" s="42">
        <v>29220</v>
      </c>
      <c r="I198" s="42"/>
      <c r="J198" s="192">
        <f>J199</f>
        <v>530</v>
      </c>
      <c r="K198" s="192">
        <f>K199</f>
        <v>520.6</v>
      </c>
    </row>
    <row r="199" spans="1:11" ht="31.5">
      <c r="A199" s="46" t="s">
        <v>137</v>
      </c>
      <c r="B199" s="41" t="s">
        <v>24</v>
      </c>
      <c r="C199" s="41" t="s">
        <v>16</v>
      </c>
      <c r="D199" s="41" t="s">
        <v>12</v>
      </c>
      <c r="E199" s="41" t="s">
        <v>12</v>
      </c>
      <c r="F199" s="42">
        <v>3</v>
      </c>
      <c r="G199" s="41" t="s">
        <v>315</v>
      </c>
      <c r="H199" s="42">
        <v>29220</v>
      </c>
      <c r="I199" s="42">
        <v>240</v>
      </c>
      <c r="J199" s="192">
        <f>750-220</f>
        <v>530</v>
      </c>
      <c r="K199" s="192">
        <v>520.6</v>
      </c>
    </row>
    <row r="200" spans="1:11" ht="15.75">
      <c r="A200" s="46" t="s">
        <v>74</v>
      </c>
      <c r="B200" s="42">
        <v>871</v>
      </c>
      <c r="C200" s="41" t="s">
        <v>16</v>
      </c>
      <c r="D200" s="41" t="s">
        <v>12</v>
      </c>
      <c r="E200" s="41" t="s">
        <v>12</v>
      </c>
      <c r="F200" s="42">
        <v>3</v>
      </c>
      <c r="G200" s="41" t="s">
        <v>315</v>
      </c>
      <c r="H200" s="41" t="s">
        <v>371</v>
      </c>
      <c r="I200" s="42"/>
      <c r="J200" s="192">
        <f>J201</f>
        <v>14354</v>
      </c>
      <c r="K200" s="192">
        <f>K201</f>
        <v>10642.2</v>
      </c>
    </row>
    <row r="201" spans="1:11" ht="31.5">
      <c r="A201" s="46" t="s">
        <v>137</v>
      </c>
      <c r="B201" s="42">
        <v>871</v>
      </c>
      <c r="C201" s="41" t="s">
        <v>16</v>
      </c>
      <c r="D201" s="41" t="s">
        <v>12</v>
      </c>
      <c r="E201" s="41" t="s">
        <v>12</v>
      </c>
      <c r="F201" s="42">
        <v>3</v>
      </c>
      <c r="G201" s="41" t="s">
        <v>315</v>
      </c>
      <c r="H201" s="41" t="s">
        <v>371</v>
      </c>
      <c r="I201" s="42">
        <v>240</v>
      </c>
      <c r="J201" s="192">
        <f>2100-700+10219-400+500-50+2185+500</f>
        <v>14354</v>
      </c>
      <c r="K201" s="192">
        <v>10642.2</v>
      </c>
    </row>
    <row r="202" spans="1:11" ht="15.75">
      <c r="A202" s="46" t="s">
        <v>73</v>
      </c>
      <c r="B202" s="42">
        <v>871</v>
      </c>
      <c r="C202" s="41" t="s">
        <v>16</v>
      </c>
      <c r="D202" s="41" t="s">
        <v>12</v>
      </c>
      <c r="E202" s="41" t="s">
        <v>12</v>
      </c>
      <c r="F202" s="42">
        <v>3</v>
      </c>
      <c r="G202" s="41" t="s">
        <v>315</v>
      </c>
      <c r="H202" s="42">
        <v>29490</v>
      </c>
      <c r="I202" s="42"/>
      <c r="J202" s="192">
        <f>J203</f>
        <v>100</v>
      </c>
      <c r="K202" s="192">
        <f>K203</f>
        <v>91.8</v>
      </c>
    </row>
    <row r="203" spans="1:11" ht="31.5">
      <c r="A203" s="46" t="s">
        <v>137</v>
      </c>
      <c r="B203" s="42">
        <v>871</v>
      </c>
      <c r="C203" s="41" t="s">
        <v>16</v>
      </c>
      <c r="D203" s="41" t="s">
        <v>12</v>
      </c>
      <c r="E203" s="41" t="s">
        <v>12</v>
      </c>
      <c r="F203" s="42">
        <v>3</v>
      </c>
      <c r="G203" s="41" t="s">
        <v>315</v>
      </c>
      <c r="H203" s="42">
        <v>29490</v>
      </c>
      <c r="I203" s="42">
        <v>240</v>
      </c>
      <c r="J203" s="192">
        <v>100</v>
      </c>
      <c r="K203" s="192">
        <v>91.8</v>
      </c>
    </row>
    <row r="204" spans="1:11" ht="15.75">
      <c r="A204" s="40" t="s">
        <v>537</v>
      </c>
      <c r="B204" s="41" t="s">
        <v>24</v>
      </c>
      <c r="C204" s="41" t="s">
        <v>16</v>
      </c>
      <c r="D204" s="41" t="s">
        <v>12</v>
      </c>
      <c r="E204" s="41" t="s">
        <v>12</v>
      </c>
      <c r="F204" s="42">
        <v>3</v>
      </c>
      <c r="G204" s="41" t="s">
        <v>315</v>
      </c>
      <c r="H204" s="41" t="s">
        <v>533</v>
      </c>
      <c r="I204" s="42"/>
      <c r="J204" s="192">
        <f>J205</f>
        <v>15</v>
      </c>
      <c r="K204" s="192">
        <f>K205</f>
        <v>6.2</v>
      </c>
    </row>
    <row r="205" spans="1:11" ht="31.5">
      <c r="A205" s="46" t="s">
        <v>137</v>
      </c>
      <c r="B205" s="41" t="s">
        <v>24</v>
      </c>
      <c r="C205" s="41" t="s">
        <v>16</v>
      </c>
      <c r="D205" s="41" t="s">
        <v>12</v>
      </c>
      <c r="E205" s="41" t="s">
        <v>12</v>
      </c>
      <c r="F205" s="42">
        <v>3</v>
      </c>
      <c r="G205" s="41" t="s">
        <v>315</v>
      </c>
      <c r="H205" s="41" t="s">
        <v>533</v>
      </c>
      <c r="I205" s="42">
        <v>240</v>
      </c>
      <c r="J205" s="192">
        <v>15</v>
      </c>
      <c r="K205" s="192">
        <v>6.2</v>
      </c>
    </row>
    <row r="206" spans="1:11" ht="15.75">
      <c r="A206" s="46" t="s">
        <v>372</v>
      </c>
      <c r="B206" s="42">
        <v>871</v>
      </c>
      <c r="C206" s="41" t="s">
        <v>16</v>
      </c>
      <c r="D206" s="41" t="s">
        <v>12</v>
      </c>
      <c r="E206" s="41" t="s">
        <v>12</v>
      </c>
      <c r="F206" s="42">
        <v>3</v>
      </c>
      <c r="G206" s="41" t="s">
        <v>315</v>
      </c>
      <c r="H206" s="41" t="s">
        <v>373</v>
      </c>
      <c r="I206" s="42"/>
      <c r="J206" s="192">
        <f>J207</f>
        <v>5700</v>
      </c>
      <c r="K206" s="192">
        <f>K207</f>
        <v>5646.8</v>
      </c>
    </row>
    <row r="207" spans="1:11" ht="31.5">
      <c r="A207" s="46" t="s">
        <v>137</v>
      </c>
      <c r="B207" s="42">
        <v>871</v>
      </c>
      <c r="C207" s="41" t="s">
        <v>16</v>
      </c>
      <c r="D207" s="41" t="s">
        <v>12</v>
      </c>
      <c r="E207" s="41" t="s">
        <v>12</v>
      </c>
      <c r="F207" s="42">
        <v>3</v>
      </c>
      <c r="G207" s="41" t="s">
        <v>315</v>
      </c>
      <c r="H207" s="41" t="s">
        <v>373</v>
      </c>
      <c r="I207" s="42">
        <v>240</v>
      </c>
      <c r="J207" s="192">
        <f>3600+700+1080+300+20</f>
        <v>5700</v>
      </c>
      <c r="K207" s="192">
        <v>5646.8</v>
      </c>
    </row>
    <row r="208" spans="1:11" ht="31.5">
      <c r="A208" s="46" t="s">
        <v>94</v>
      </c>
      <c r="B208" s="42">
        <v>871</v>
      </c>
      <c r="C208" s="41" t="s">
        <v>16</v>
      </c>
      <c r="D208" s="41" t="s">
        <v>12</v>
      </c>
      <c r="E208" s="41" t="s">
        <v>12</v>
      </c>
      <c r="F208" s="42">
        <v>3</v>
      </c>
      <c r="G208" s="41" t="s">
        <v>315</v>
      </c>
      <c r="H208" s="41" t="s">
        <v>374</v>
      </c>
      <c r="I208" s="42"/>
      <c r="J208" s="192">
        <f>J209</f>
        <v>692.7</v>
      </c>
      <c r="K208" s="192">
        <f>K209</f>
        <v>692.7</v>
      </c>
    </row>
    <row r="209" spans="1:11" ht="31.5">
      <c r="A209" s="46" t="s">
        <v>137</v>
      </c>
      <c r="B209" s="42">
        <v>871</v>
      </c>
      <c r="C209" s="41" t="s">
        <v>16</v>
      </c>
      <c r="D209" s="41" t="s">
        <v>12</v>
      </c>
      <c r="E209" s="41" t="s">
        <v>12</v>
      </c>
      <c r="F209" s="42">
        <v>3</v>
      </c>
      <c r="G209" s="41" t="s">
        <v>315</v>
      </c>
      <c r="H209" s="41" t="s">
        <v>374</v>
      </c>
      <c r="I209" s="42">
        <v>240</v>
      </c>
      <c r="J209" s="192">
        <f>616.2+100-23.5</f>
        <v>692.7</v>
      </c>
      <c r="K209" s="192">
        <v>692.7</v>
      </c>
    </row>
    <row r="210" spans="1:11" ht="31.5">
      <c r="A210" s="46" t="s">
        <v>447</v>
      </c>
      <c r="B210" s="42">
        <v>871</v>
      </c>
      <c r="C210" s="41" t="s">
        <v>16</v>
      </c>
      <c r="D210" s="41" t="s">
        <v>12</v>
      </c>
      <c r="E210" s="41" t="s">
        <v>12</v>
      </c>
      <c r="F210" s="42">
        <v>3</v>
      </c>
      <c r="G210" s="41" t="s">
        <v>315</v>
      </c>
      <c r="H210" s="41" t="s">
        <v>448</v>
      </c>
      <c r="I210" s="42"/>
      <c r="J210" s="192">
        <f>J211</f>
        <v>551.90000000000009</v>
      </c>
      <c r="K210" s="192">
        <f>K211</f>
        <v>551.79999999999995</v>
      </c>
    </row>
    <row r="211" spans="1:11" ht="31.5">
      <c r="A211" s="46" t="s">
        <v>137</v>
      </c>
      <c r="B211" s="42">
        <v>871</v>
      </c>
      <c r="C211" s="41" t="s">
        <v>16</v>
      </c>
      <c r="D211" s="41" t="s">
        <v>12</v>
      </c>
      <c r="E211" s="41" t="s">
        <v>12</v>
      </c>
      <c r="F211" s="42">
        <v>3</v>
      </c>
      <c r="G211" s="41" t="s">
        <v>315</v>
      </c>
      <c r="H211" s="41" t="s">
        <v>448</v>
      </c>
      <c r="I211" s="42">
        <v>240</v>
      </c>
      <c r="J211" s="192">
        <f>620+1000-1068.1</f>
        <v>551.90000000000009</v>
      </c>
      <c r="K211" s="192">
        <v>551.79999999999995</v>
      </c>
    </row>
    <row r="212" spans="1:11" ht="15.75">
      <c r="A212" s="46" t="s">
        <v>107</v>
      </c>
      <c r="B212" s="42">
        <v>871</v>
      </c>
      <c r="C212" s="41" t="s">
        <v>16</v>
      </c>
      <c r="D212" s="41" t="s">
        <v>12</v>
      </c>
      <c r="E212" s="41" t="s">
        <v>12</v>
      </c>
      <c r="F212" s="42">
        <v>3</v>
      </c>
      <c r="G212" s="41" t="s">
        <v>315</v>
      </c>
      <c r="H212" s="41" t="s">
        <v>375</v>
      </c>
      <c r="I212" s="42"/>
      <c r="J212" s="192">
        <f>J213</f>
        <v>1064.0000000000002</v>
      </c>
      <c r="K212" s="192">
        <f>K213</f>
        <v>1063.9000000000001</v>
      </c>
    </row>
    <row r="213" spans="1:11" ht="31.5">
      <c r="A213" s="46" t="s">
        <v>137</v>
      </c>
      <c r="B213" s="42">
        <v>871</v>
      </c>
      <c r="C213" s="41" t="s">
        <v>16</v>
      </c>
      <c r="D213" s="41" t="s">
        <v>12</v>
      </c>
      <c r="E213" s="41" t="s">
        <v>12</v>
      </c>
      <c r="F213" s="42">
        <v>3</v>
      </c>
      <c r="G213" s="41" t="s">
        <v>315</v>
      </c>
      <c r="H213" s="41" t="s">
        <v>375</v>
      </c>
      <c r="I213" s="42">
        <v>240</v>
      </c>
      <c r="J213" s="192">
        <f>3241-24.7+285.8-895.4-1500-42.7</f>
        <v>1064.0000000000002</v>
      </c>
      <c r="K213" s="192">
        <v>1063.9000000000001</v>
      </c>
    </row>
    <row r="214" spans="1:11" ht="63">
      <c r="A214" s="46" t="s">
        <v>527</v>
      </c>
      <c r="B214" s="42">
        <v>871</v>
      </c>
      <c r="C214" s="41" t="s">
        <v>16</v>
      </c>
      <c r="D214" s="41" t="s">
        <v>12</v>
      </c>
      <c r="E214" s="41" t="s">
        <v>437</v>
      </c>
      <c r="F214" s="42">
        <v>0</v>
      </c>
      <c r="G214" s="41" t="s">
        <v>315</v>
      </c>
      <c r="H214" s="41" t="s">
        <v>423</v>
      </c>
      <c r="I214" s="42"/>
      <c r="J214" s="192">
        <f t="shared" ref="J214:K217" si="13">J215</f>
        <v>1327.9</v>
      </c>
      <c r="K214" s="192">
        <f t="shared" si="13"/>
        <v>1171.3</v>
      </c>
    </row>
    <row r="215" spans="1:11" ht="47.25">
      <c r="A215" s="46" t="s">
        <v>538</v>
      </c>
      <c r="B215" s="42">
        <v>871</v>
      </c>
      <c r="C215" s="41" t="s">
        <v>16</v>
      </c>
      <c r="D215" s="41" t="s">
        <v>12</v>
      </c>
      <c r="E215" s="41" t="s">
        <v>437</v>
      </c>
      <c r="F215" s="42">
        <v>1</v>
      </c>
      <c r="G215" s="41" t="s">
        <v>315</v>
      </c>
      <c r="H215" s="41" t="s">
        <v>423</v>
      </c>
      <c r="I215" s="42"/>
      <c r="J215" s="192">
        <f t="shared" si="13"/>
        <v>1327.9</v>
      </c>
      <c r="K215" s="192">
        <f t="shared" si="13"/>
        <v>1171.3</v>
      </c>
    </row>
    <row r="216" spans="1:11" ht="94.5">
      <c r="A216" s="46" t="s">
        <v>540</v>
      </c>
      <c r="B216" s="42">
        <v>871</v>
      </c>
      <c r="C216" s="41" t="s">
        <v>16</v>
      </c>
      <c r="D216" s="41" t="s">
        <v>12</v>
      </c>
      <c r="E216" s="41" t="s">
        <v>437</v>
      </c>
      <c r="F216" s="42">
        <v>1</v>
      </c>
      <c r="G216" s="41" t="s">
        <v>12</v>
      </c>
      <c r="H216" s="41" t="s">
        <v>423</v>
      </c>
      <c r="I216" s="42"/>
      <c r="J216" s="192">
        <f t="shared" si="13"/>
        <v>1327.9</v>
      </c>
      <c r="K216" s="192">
        <f t="shared" si="13"/>
        <v>1171.3</v>
      </c>
    </row>
    <row r="217" spans="1:11" ht="94.5">
      <c r="A217" s="46" t="s">
        <v>539</v>
      </c>
      <c r="B217" s="42">
        <v>871</v>
      </c>
      <c r="C217" s="41" t="s">
        <v>16</v>
      </c>
      <c r="D217" s="41" t="s">
        <v>12</v>
      </c>
      <c r="E217" s="41" t="s">
        <v>437</v>
      </c>
      <c r="F217" s="42">
        <v>1</v>
      </c>
      <c r="G217" s="41" t="s">
        <v>12</v>
      </c>
      <c r="H217" s="41" t="s">
        <v>442</v>
      </c>
      <c r="I217" s="42"/>
      <c r="J217" s="192">
        <f t="shared" si="13"/>
        <v>1327.9</v>
      </c>
      <c r="K217" s="192">
        <f t="shared" si="13"/>
        <v>1171.3</v>
      </c>
    </row>
    <row r="218" spans="1:11" ht="31.5">
      <c r="A218" s="200" t="s">
        <v>38</v>
      </c>
      <c r="B218" s="42">
        <v>871</v>
      </c>
      <c r="C218" s="41" t="s">
        <v>16</v>
      </c>
      <c r="D218" s="41" t="s">
        <v>12</v>
      </c>
      <c r="E218" s="41" t="s">
        <v>437</v>
      </c>
      <c r="F218" s="42">
        <v>1</v>
      </c>
      <c r="G218" s="41" t="s">
        <v>12</v>
      </c>
      <c r="H218" s="41" t="s">
        <v>442</v>
      </c>
      <c r="I218" s="42">
        <v>540</v>
      </c>
      <c r="J218" s="192">
        <f>597.6+730.3</f>
        <v>1327.9</v>
      </c>
      <c r="K218" s="192">
        <v>1171.3</v>
      </c>
    </row>
    <row r="219" spans="1:11" ht="31.5">
      <c r="A219" s="46" t="s">
        <v>376</v>
      </c>
      <c r="B219" s="42">
        <v>871</v>
      </c>
      <c r="C219" s="41" t="s">
        <v>16</v>
      </c>
      <c r="D219" s="41" t="s">
        <v>16</v>
      </c>
      <c r="E219" s="41" t="s">
        <v>315</v>
      </c>
      <c r="F219" s="42">
        <v>0</v>
      </c>
      <c r="G219" s="41" t="s">
        <v>315</v>
      </c>
      <c r="H219" s="41" t="s">
        <v>423</v>
      </c>
      <c r="I219" s="42"/>
      <c r="J219" s="192">
        <f>J220+J228</f>
        <v>21503.4</v>
      </c>
      <c r="K219" s="192">
        <f>K220+K228</f>
        <v>17489.3</v>
      </c>
    </row>
    <row r="220" spans="1:11" ht="31.5">
      <c r="A220" s="40" t="s">
        <v>441</v>
      </c>
      <c r="B220" s="42">
        <v>871</v>
      </c>
      <c r="C220" s="41" t="s">
        <v>16</v>
      </c>
      <c r="D220" s="41" t="s">
        <v>16</v>
      </c>
      <c r="E220" s="41" t="s">
        <v>12</v>
      </c>
      <c r="F220" s="42">
        <v>0</v>
      </c>
      <c r="G220" s="41" t="s">
        <v>315</v>
      </c>
      <c r="H220" s="41" t="s">
        <v>423</v>
      </c>
      <c r="I220" s="42"/>
      <c r="J220" s="192">
        <f>J221</f>
        <v>21062.400000000001</v>
      </c>
      <c r="K220" s="192">
        <f>K221</f>
        <v>17219</v>
      </c>
    </row>
    <row r="221" spans="1:11" ht="15.75">
      <c r="A221" s="46" t="s">
        <v>75</v>
      </c>
      <c r="B221" s="42">
        <v>871</v>
      </c>
      <c r="C221" s="41" t="s">
        <v>16</v>
      </c>
      <c r="D221" s="41" t="s">
        <v>16</v>
      </c>
      <c r="E221" s="41" t="s">
        <v>12</v>
      </c>
      <c r="F221" s="42">
        <v>4</v>
      </c>
      <c r="G221" s="41" t="s">
        <v>315</v>
      </c>
      <c r="H221" s="41" t="s">
        <v>423</v>
      </c>
      <c r="I221" s="42"/>
      <c r="J221" s="192">
        <f>J222+J226</f>
        <v>21062.400000000001</v>
      </c>
      <c r="K221" s="192">
        <f>K222+K226</f>
        <v>17219</v>
      </c>
    </row>
    <row r="222" spans="1:11" ht="31.5">
      <c r="A222" s="46" t="s">
        <v>76</v>
      </c>
      <c r="B222" s="42">
        <v>871</v>
      </c>
      <c r="C222" s="41" t="s">
        <v>16</v>
      </c>
      <c r="D222" s="41" t="s">
        <v>16</v>
      </c>
      <c r="E222" s="41" t="s">
        <v>12</v>
      </c>
      <c r="F222" s="42">
        <v>4</v>
      </c>
      <c r="G222" s="41" t="s">
        <v>315</v>
      </c>
      <c r="H222" s="41" t="s">
        <v>377</v>
      </c>
      <c r="I222" s="42"/>
      <c r="J222" s="192">
        <f>SUM(J223:J225)</f>
        <v>20262.400000000001</v>
      </c>
      <c r="K222" s="192">
        <f>SUM(K223:K225)</f>
        <v>16419</v>
      </c>
    </row>
    <row r="223" spans="1:11" ht="15.75">
      <c r="A223" s="40" t="s">
        <v>115</v>
      </c>
      <c r="B223" s="42">
        <v>871</v>
      </c>
      <c r="C223" s="41" t="s">
        <v>16</v>
      </c>
      <c r="D223" s="41" t="s">
        <v>16</v>
      </c>
      <c r="E223" s="41" t="s">
        <v>12</v>
      </c>
      <c r="F223" s="42">
        <v>4</v>
      </c>
      <c r="G223" s="41" t="s">
        <v>315</v>
      </c>
      <c r="H223" s="41" t="s">
        <v>377</v>
      </c>
      <c r="I223" s="42">
        <v>110</v>
      </c>
      <c r="J223" s="192">
        <f>16375.8-800</f>
        <v>15575.8</v>
      </c>
      <c r="K223" s="192">
        <v>12990</v>
      </c>
    </row>
    <row r="224" spans="1:11" ht="31.5">
      <c r="A224" s="46" t="s">
        <v>137</v>
      </c>
      <c r="B224" s="42">
        <v>871</v>
      </c>
      <c r="C224" s="41" t="s">
        <v>16</v>
      </c>
      <c r="D224" s="41" t="s">
        <v>16</v>
      </c>
      <c r="E224" s="41" t="s">
        <v>12</v>
      </c>
      <c r="F224" s="42">
        <v>4</v>
      </c>
      <c r="G224" s="41" t="s">
        <v>315</v>
      </c>
      <c r="H224" s="41" t="s">
        <v>377</v>
      </c>
      <c r="I224" s="42">
        <v>240</v>
      </c>
      <c r="J224" s="192">
        <f>4239.6+400</f>
        <v>4639.6000000000004</v>
      </c>
      <c r="K224" s="192">
        <v>3382.8</v>
      </c>
    </row>
    <row r="225" spans="1:11" ht="15.75">
      <c r="A225" s="40" t="s">
        <v>117</v>
      </c>
      <c r="B225" s="42">
        <v>871</v>
      </c>
      <c r="C225" s="41" t="s">
        <v>16</v>
      </c>
      <c r="D225" s="41" t="s">
        <v>16</v>
      </c>
      <c r="E225" s="41" t="s">
        <v>12</v>
      </c>
      <c r="F225" s="42">
        <v>4</v>
      </c>
      <c r="G225" s="41" t="s">
        <v>315</v>
      </c>
      <c r="H225" s="41" t="s">
        <v>377</v>
      </c>
      <c r="I225" s="42">
        <v>850</v>
      </c>
      <c r="J225" s="192">
        <v>47</v>
      </c>
      <c r="K225" s="192">
        <v>46.2</v>
      </c>
    </row>
    <row r="226" spans="1:11" ht="126">
      <c r="A226" s="40" t="s">
        <v>541</v>
      </c>
      <c r="B226" s="42">
        <v>871</v>
      </c>
      <c r="C226" s="41" t="s">
        <v>16</v>
      </c>
      <c r="D226" s="41" t="s">
        <v>16</v>
      </c>
      <c r="E226" s="41" t="s">
        <v>12</v>
      </c>
      <c r="F226" s="42">
        <v>4</v>
      </c>
      <c r="G226" s="41" t="s">
        <v>315</v>
      </c>
      <c r="H226" s="41" t="s">
        <v>514</v>
      </c>
      <c r="I226" s="42"/>
      <c r="J226" s="192">
        <f>J227</f>
        <v>800</v>
      </c>
      <c r="K226" s="192">
        <f>K227</f>
        <v>800</v>
      </c>
    </row>
    <row r="227" spans="1:11" ht="15.75">
      <c r="A227" s="40" t="s">
        <v>115</v>
      </c>
      <c r="B227" s="42">
        <v>871</v>
      </c>
      <c r="C227" s="41" t="s">
        <v>16</v>
      </c>
      <c r="D227" s="41" t="s">
        <v>16</v>
      </c>
      <c r="E227" s="41" t="s">
        <v>12</v>
      </c>
      <c r="F227" s="42">
        <v>4</v>
      </c>
      <c r="G227" s="41" t="s">
        <v>315</v>
      </c>
      <c r="H227" s="41" t="s">
        <v>514</v>
      </c>
      <c r="I227" s="42">
        <v>110</v>
      </c>
      <c r="J227" s="192">
        <v>800</v>
      </c>
      <c r="K227" s="192">
        <v>800</v>
      </c>
    </row>
    <row r="228" spans="1:11" ht="47.25">
      <c r="A228" s="40" t="s">
        <v>132</v>
      </c>
      <c r="B228" s="42">
        <v>871</v>
      </c>
      <c r="C228" s="41" t="s">
        <v>16</v>
      </c>
      <c r="D228" s="41" t="s">
        <v>16</v>
      </c>
      <c r="E228" s="41" t="s">
        <v>18</v>
      </c>
      <c r="F228" s="42">
        <v>0</v>
      </c>
      <c r="G228" s="41" t="s">
        <v>315</v>
      </c>
      <c r="H228" s="41" t="s">
        <v>423</v>
      </c>
      <c r="I228" s="42"/>
      <c r="J228" s="192">
        <f>J229</f>
        <v>441</v>
      </c>
      <c r="K228" s="192">
        <f>K229</f>
        <v>270.3</v>
      </c>
    </row>
    <row r="229" spans="1:11" ht="31.5">
      <c r="A229" s="40" t="s">
        <v>378</v>
      </c>
      <c r="B229" s="41" t="s">
        <v>24</v>
      </c>
      <c r="C229" s="41" t="s">
        <v>16</v>
      </c>
      <c r="D229" s="41" t="s">
        <v>16</v>
      </c>
      <c r="E229" s="41" t="s">
        <v>18</v>
      </c>
      <c r="F229" s="42">
        <v>2</v>
      </c>
      <c r="G229" s="41" t="s">
        <v>315</v>
      </c>
      <c r="H229" s="41" t="s">
        <v>423</v>
      </c>
      <c r="I229" s="42"/>
      <c r="J229" s="192">
        <f>J230+J233</f>
        <v>441</v>
      </c>
      <c r="K229" s="192">
        <f>K230+K233</f>
        <v>270.3</v>
      </c>
    </row>
    <row r="230" spans="1:11" ht="15.75">
      <c r="A230" s="40" t="s">
        <v>379</v>
      </c>
      <c r="B230" s="41" t="s">
        <v>24</v>
      </c>
      <c r="C230" s="41" t="s">
        <v>16</v>
      </c>
      <c r="D230" s="41" t="s">
        <v>16</v>
      </c>
      <c r="E230" s="41" t="s">
        <v>18</v>
      </c>
      <c r="F230" s="42">
        <v>2</v>
      </c>
      <c r="G230" s="41" t="s">
        <v>13</v>
      </c>
      <c r="H230" s="41"/>
      <c r="I230" s="42"/>
      <c r="J230" s="192">
        <f>J231</f>
        <v>416</v>
      </c>
      <c r="K230" s="192">
        <f>K231</f>
        <v>268.8</v>
      </c>
    </row>
    <row r="231" spans="1:11" ht="47.25">
      <c r="A231" s="46" t="s">
        <v>125</v>
      </c>
      <c r="B231" s="41" t="s">
        <v>24</v>
      </c>
      <c r="C231" s="41" t="s">
        <v>16</v>
      </c>
      <c r="D231" s="41" t="s">
        <v>16</v>
      </c>
      <c r="E231" s="41" t="s">
        <v>18</v>
      </c>
      <c r="F231" s="41" t="s">
        <v>330</v>
      </c>
      <c r="G231" s="41" t="s">
        <v>13</v>
      </c>
      <c r="H231" s="41" t="s">
        <v>339</v>
      </c>
      <c r="I231" s="41"/>
      <c r="J231" s="192">
        <f>J232</f>
        <v>416</v>
      </c>
      <c r="K231" s="192">
        <f>K232</f>
        <v>268.8</v>
      </c>
    </row>
    <row r="232" spans="1:11" ht="31.5">
      <c r="A232" s="46" t="s">
        <v>137</v>
      </c>
      <c r="B232" s="41" t="s">
        <v>24</v>
      </c>
      <c r="C232" s="41" t="s">
        <v>16</v>
      </c>
      <c r="D232" s="41" t="s">
        <v>16</v>
      </c>
      <c r="E232" s="41" t="s">
        <v>18</v>
      </c>
      <c r="F232" s="41" t="s">
        <v>330</v>
      </c>
      <c r="G232" s="41" t="s">
        <v>13</v>
      </c>
      <c r="H232" s="41" t="s">
        <v>339</v>
      </c>
      <c r="I232" s="41" t="s">
        <v>127</v>
      </c>
      <c r="J232" s="192">
        <f>466-50</f>
        <v>416</v>
      </c>
      <c r="K232" s="192">
        <v>268.8</v>
      </c>
    </row>
    <row r="233" spans="1:11" ht="15.75">
      <c r="A233" s="40" t="s">
        <v>342</v>
      </c>
      <c r="B233" s="41" t="s">
        <v>24</v>
      </c>
      <c r="C233" s="41" t="s">
        <v>16</v>
      </c>
      <c r="D233" s="41" t="s">
        <v>16</v>
      </c>
      <c r="E233" s="41" t="s">
        <v>18</v>
      </c>
      <c r="F233" s="41" t="s">
        <v>330</v>
      </c>
      <c r="G233" s="41" t="s">
        <v>12</v>
      </c>
      <c r="H233" s="41" t="s">
        <v>423</v>
      </c>
      <c r="I233" s="41"/>
      <c r="J233" s="192">
        <f>J234</f>
        <v>25</v>
      </c>
      <c r="K233" s="192">
        <f>K234</f>
        <v>1.5</v>
      </c>
    </row>
    <row r="234" spans="1:11" ht="47.25">
      <c r="A234" s="46" t="s">
        <v>125</v>
      </c>
      <c r="B234" s="41" t="s">
        <v>24</v>
      </c>
      <c r="C234" s="41" t="s">
        <v>16</v>
      </c>
      <c r="D234" s="41" t="s">
        <v>16</v>
      </c>
      <c r="E234" s="41" t="s">
        <v>18</v>
      </c>
      <c r="F234" s="41" t="s">
        <v>330</v>
      </c>
      <c r="G234" s="41" t="s">
        <v>12</v>
      </c>
      <c r="H234" s="41" t="s">
        <v>339</v>
      </c>
      <c r="I234" s="41"/>
      <c r="J234" s="192">
        <f>J235</f>
        <v>25</v>
      </c>
      <c r="K234" s="192">
        <f>K235</f>
        <v>1.5</v>
      </c>
    </row>
    <row r="235" spans="1:11" ht="31.5">
      <c r="A235" s="46" t="s">
        <v>137</v>
      </c>
      <c r="B235" s="41" t="s">
        <v>24</v>
      </c>
      <c r="C235" s="41" t="s">
        <v>16</v>
      </c>
      <c r="D235" s="41" t="s">
        <v>16</v>
      </c>
      <c r="E235" s="41" t="s">
        <v>18</v>
      </c>
      <c r="F235" s="41" t="s">
        <v>330</v>
      </c>
      <c r="G235" s="41" t="s">
        <v>12</v>
      </c>
      <c r="H235" s="41" t="s">
        <v>339</v>
      </c>
      <c r="I235" s="41" t="s">
        <v>127</v>
      </c>
      <c r="J235" s="192">
        <f>50-25</f>
        <v>25</v>
      </c>
      <c r="K235" s="192">
        <v>1.5</v>
      </c>
    </row>
    <row r="236" spans="1:11" ht="15.75">
      <c r="A236" s="202" t="s">
        <v>279</v>
      </c>
      <c r="B236" s="41" t="s">
        <v>24</v>
      </c>
      <c r="C236" s="41" t="s">
        <v>18</v>
      </c>
      <c r="D236" s="41"/>
      <c r="E236" s="41"/>
      <c r="F236" s="42"/>
      <c r="G236" s="41"/>
      <c r="H236" s="41"/>
      <c r="I236" s="42"/>
      <c r="J236" s="201">
        <f>J237+J241</f>
        <v>194.6</v>
      </c>
      <c r="K236" s="201">
        <f>K237+K241</f>
        <v>159.5</v>
      </c>
    </row>
    <row r="237" spans="1:11" ht="31.5">
      <c r="A237" s="203" t="s">
        <v>30</v>
      </c>
      <c r="B237" s="41" t="s">
        <v>24</v>
      </c>
      <c r="C237" s="41" t="s">
        <v>18</v>
      </c>
      <c r="D237" s="41" t="s">
        <v>16</v>
      </c>
      <c r="E237" s="41"/>
      <c r="F237" s="42"/>
      <c r="G237" s="41"/>
      <c r="H237" s="41"/>
      <c r="I237" s="42"/>
      <c r="J237" s="192">
        <f t="shared" ref="J237:K239" si="14">J238</f>
        <v>31.5</v>
      </c>
      <c r="K237" s="192">
        <f t="shared" si="14"/>
        <v>31.5</v>
      </c>
    </row>
    <row r="238" spans="1:11" ht="94.5">
      <c r="A238" s="40" t="s">
        <v>542</v>
      </c>
      <c r="B238" s="41" t="s">
        <v>24</v>
      </c>
      <c r="C238" s="41" t="s">
        <v>18</v>
      </c>
      <c r="D238" s="41" t="s">
        <v>16</v>
      </c>
      <c r="E238" s="41" t="s">
        <v>543</v>
      </c>
      <c r="F238" s="42">
        <v>0</v>
      </c>
      <c r="G238" s="41" t="s">
        <v>315</v>
      </c>
      <c r="H238" s="41" t="s">
        <v>423</v>
      </c>
      <c r="I238" s="42"/>
      <c r="J238" s="192">
        <f t="shared" si="14"/>
        <v>31.5</v>
      </c>
      <c r="K238" s="192">
        <f t="shared" si="14"/>
        <v>31.5</v>
      </c>
    </row>
    <row r="239" spans="1:11" ht="31.5">
      <c r="A239" s="46" t="s">
        <v>544</v>
      </c>
      <c r="B239" s="41" t="s">
        <v>24</v>
      </c>
      <c r="C239" s="41" t="s">
        <v>18</v>
      </c>
      <c r="D239" s="41" t="s">
        <v>16</v>
      </c>
      <c r="E239" s="41" t="s">
        <v>543</v>
      </c>
      <c r="F239" s="42">
        <v>0</v>
      </c>
      <c r="G239" s="41" t="s">
        <v>315</v>
      </c>
      <c r="H239" s="41" t="s">
        <v>545</v>
      </c>
      <c r="I239" s="42"/>
      <c r="J239" s="192">
        <f t="shared" si="14"/>
        <v>31.5</v>
      </c>
      <c r="K239" s="192">
        <f t="shared" si="14"/>
        <v>31.5</v>
      </c>
    </row>
    <row r="240" spans="1:11" ht="31.5">
      <c r="A240" s="46" t="s">
        <v>137</v>
      </c>
      <c r="B240" s="41" t="s">
        <v>24</v>
      </c>
      <c r="C240" s="41" t="s">
        <v>18</v>
      </c>
      <c r="D240" s="41" t="s">
        <v>16</v>
      </c>
      <c r="E240" s="41" t="s">
        <v>543</v>
      </c>
      <c r="F240" s="42">
        <v>0</v>
      </c>
      <c r="G240" s="41" t="s">
        <v>315</v>
      </c>
      <c r="H240" s="41" t="s">
        <v>545</v>
      </c>
      <c r="I240" s="42">
        <v>240</v>
      </c>
      <c r="J240" s="192">
        <f>60-28.5</f>
        <v>31.5</v>
      </c>
      <c r="K240" s="192">
        <v>31.5</v>
      </c>
    </row>
    <row r="241" spans="1:11" ht="15.75">
      <c r="A241" s="40" t="s">
        <v>79</v>
      </c>
      <c r="B241" s="41" t="s">
        <v>24</v>
      </c>
      <c r="C241" s="41" t="s">
        <v>18</v>
      </c>
      <c r="D241" s="41" t="s">
        <v>18</v>
      </c>
      <c r="E241" s="41"/>
      <c r="F241" s="42"/>
      <c r="G241" s="41"/>
      <c r="H241" s="41"/>
      <c r="I241" s="42"/>
      <c r="J241" s="201">
        <f>J242</f>
        <v>163.1</v>
      </c>
      <c r="K241" s="201">
        <f>K242</f>
        <v>128</v>
      </c>
    </row>
    <row r="242" spans="1:11" ht="63">
      <c r="A242" s="46" t="s">
        <v>449</v>
      </c>
      <c r="B242" s="41" t="s">
        <v>24</v>
      </c>
      <c r="C242" s="41" t="s">
        <v>18</v>
      </c>
      <c r="D242" s="41" t="s">
        <v>18</v>
      </c>
      <c r="E242" s="41" t="s">
        <v>66</v>
      </c>
      <c r="F242" s="42">
        <v>0</v>
      </c>
      <c r="G242" s="41" t="s">
        <v>315</v>
      </c>
      <c r="H242" s="41" t="s">
        <v>423</v>
      </c>
      <c r="I242" s="42"/>
      <c r="J242" s="201">
        <f>J243</f>
        <v>163.1</v>
      </c>
      <c r="K242" s="201">
        <f>K243</f>
        <v>128</v>
      </c>
    </row>
    <row r="243" spans="1:11" ht="15.75">
      <c r="A243" s="40" t="s">
        <v>79</v>
      </c>
      <c r="B243" s="41" t="s">
        <v>24</v>
      </c>
      <c r="C243" s="41" t="s">
        <v>18</v>
      </c>
      <c r="D243" s="41" t="s">
        <v>18</v>
      </c>
      <c r="E243" s="41" t="s">
        <v>66</v>
      </c>
      <c r="F243" s="42">
        <v>1</v>
      </c>
      <c r="G243" s="41" t="s">
        <v>315</v>
      </c>
      <c r="H243" s="41" t="s">
        <v>423</v>
      </c>
      <c r="I243" s="42"/>
      <c r="J243" s="201">
        <f>J244+J246</f>
        <v>163.1</v>
      </c>
      <c r="K243" s="201">
        <f>K244+K246</f>
        <v>128</v>
      </c>
    </row>
    <row r="244" spans="1:11" ht="31.5">
      <c r="A244" s="40" t="s">
        <v>80</v>
      </c>
      <c r="B244" s="41" t="s">
        <v>24</v>
      </c>
      <c r="C244" s="41" t="s">
        <v>18</v>
      </c>
      <c r="D244" s="41" t="s">
        <v>18</v>
      </c>
      <c r="E244" s="41" t="s">
        <v>66</v>
      </c>
      <c r="F244" s="42">
        <v>1</v>
      </c>
      <c r="G244" s="41" t="s">
        <v>315</v>
      </c>
      <c r="H244" s="41" t="s">
        <v>380</v>
      </c>
      <c r="I244" s="42"/>
      <c r="J244" s="201">
        <f>J245</f>
        <v>98.1</v>
      </c>
      <c r="K244" s="201">
        <f>K245</f>
        <v>98</v>
      </c>
    </row>
    <row r="245" spans="1:11" ht="15.75">
      <c r="A245" s="40" t="s">
        <v>115</v>
      </c>
      <c r="B245" s="41" t="s">
        <v>24</v>
      </c>
      <c r="C245" s="41" t="s">
        <v>18</v>
      </c>
      <c r="D245" s="41" t="s">
        <v>18</v>
      </c>
      <c r="E245" s="41" t="s">
        <v>66</v>
      </c>
      <c r="F245" s="42">
        <v>1</v>
      </c>
      <c r="G245" s="41" t="s">
        <v>315</v>
      </c>
      <c r="H245" s="41" t="s">
        <v>380</v>
      </c>
      <c r="I245" s="42">
        <v>110</v>
      </c>
      <c r="J245" s="201">
        <f>100-1.5-0.4</f>
        <v>98.1</v>
      </c>
      <c r="K245" s="201">
        <v>98</v>
      </c>
    </row>
    <row r="246" spans="1:11" ht="15.75">
      <c r="A246" s="40" t="s">
        <v>78</v>
      </c>
      <c r="B246" s="41" t="s">
        <v>24</v>
      </c>
      <c r="C246" s="41" t="s">
        <v>18</v>
      </c>
      <c r="D246" s="41" t="s">
        <v>18</v>
      </c>
      <c r="E246" s="41" t="s">
        <v>66</v>
      </c>
      <c r="F246" s="42">
        <v>1</v>
      </c>
      <c r="G246" s="41" t="s">
        <v>315</v>
      </c>
      <c r="H246" s="41" t="s">
        <v>381</v>
      </c>
      <c r="I246" s="42"/>
      <c r="J246" s="201">
        <f>J247</f>
        <v>65</v>
      </c>
      <c r="K246" s="201">
        <f>K247</f>
        <v>30</v>
      </c>
    </row>
    <row r="247" spans="1:11" ht="31.5">
      <c r="A247" s="46" t="s">
        <v>137</v>
      </c>
      <c r="B247" s="41" t="s">
        <v>24</v>
      </c>
      <c r="C247" s="41" t="s">
        <v>18</v>
      </c>
      <c r="D247" s="41" t="s">
        <v>18</v>
      </c>
      <c r="E247" s="41" t="s">
        <v>66</v>
      </c>
      <c r="F247" s="42">
        <v>1</v>
      </c>
      <c r="G247" s="41" t="s">
        <v>315</v>
      </c>
      <c r="H247" s="41" t="s">
        <v>381</v>
      </c>
      <c r="I247" s="42">
        <v>240</v>
      </c>
      <c r="J247" s="201">
        <v>65</v>
      </c>
      <c r="K247" s="201">
        <v>30</v>
      </c>
    </row>
    <row r="248" spans="1:11" ht="15.75">
      <c r="A248" s="202" t="s">
        <v>280</v>
      </c>
      <c r="B248" s="41" t="s">
        <v>24</v>
      </c>
      <c r="C248" s="41" t="s">
        <v>19</v>
      </c>
      <c r="D248" s="41"/>
      <c r="E248" s="41"/>
      <c r="F248" s="42"/>
      <c r="G248" s="41"/>
      <c r="H248" s="41"/>
      <c r="I248" s="42"/>
      <c r="J248" s="201">
        <f>J249+J281</f>
        <v>14626.899999999998</v>
      </c>
      <c r="K248" s="201">
        <f>K249+K281</f>
        <v>13357</v>
      </c>
    </row>
    <row r="249" spans="1:11" ht="15.75">
      <c r="A249" s="40" t="s">
        <v>20</v>
      </c>
      <c r="B249" s="41" t="s">
        <v>24</v>
      </c>
      <c r="C249" s="41" t="s">
        <v>19</v>
      </c>
      <c r="D249" s="42" t="s">
        <v>11</v>
      </c>
      <c r="E249" s="41" t="s">
        <v>10</v>
      </c>
      <c r="F249" s="42"/>
      <c r="G249" s="41"/>
      <c r="H249" s="41"/>
      <c r="I249" s="42" t="s">
        <v>8</v>
      </c>
      <c r="J249" s="201">
        <f>J273+J250+J261+J269</f>
        <v>13917.299999999997</v>
      </c>
      <c r="K249" s="201">
        <f>K273+K250+K261+K269</f>
        <v>12651</v>
      </c>
    </row>
    <row r="250" spans="1:11" ht="63">
      <c r="A250" s="46" t="s">
        <v>449</v>
      </c>
      <c r="B250" s="41" t="s">
        <v>24</v>
      </c>
      <c r="C250" s="41" t="s">
        <v>19</v>
      </c>
      <c r="D250" s="41" t="s">
        <v>11</v>
      </c>
      <c r="E250" s="41" t="s">
        <v>66</v>
      </c>
      <c r="F250" s="42">
        <v>0</v>
      </c>
      <c r="G250" s="41" t="s">
        <v>315</v>
      </c>
      <c r="H250" s="41" t="s">
        <v>423</v>
      </c>
      <c r="I250" s="42"/>
      <c r="J250" s="201">
        <f>J251+J256</f>
        <v>12129.499999999998</v>
      </c>
      <c r="K250" s="201">
        <f>K251+K256</f>
        <v>11482.1</v>
      </c>
    </row>
    <row r="251" spans="1:11" ht="15.75">
      <c r="A251" s="46" t="s">
        <v>81</v>
      </c>
      <c r="B251" s="41" t="s">
        <v>24</v>
      </c>
      <c r="C251" s="41" t="s">
        <v>19</v>
      </c>
      <c r="D251" s="41" t="s">
        <v>11</v>
      </c>
      <c r="E251" s="41" t="s">
        <v>66</v>
      </c>
      <c r="F251" s="42">
        <v>2</v>
      </c>
      <c r="G251" s="41" t="s">
        <v>315</v>
      </c>
      <c r="H251" s="41" t="s">
        <v>423</v>
      </c>
      <c r="I251" s="42"/>
      <c r="J251" s="201">
        <f>J252</f>
        <v>2878.9</v>
      </c>
      <c r="K251" s="201">
        <f>K252</f>
        <v>2482.6</v>
      </c>
    </row>
    <row r="252" spans="1:11" ht="31.5">
      <c r="A252" s="46" t="s">
        <v>76</v>
      </c>
      <c r="B252" s="41" t="s">
        <v>24</v>
      </c>
      <c r="C252" s="41" t="s">
        <v>19</v>
      </c>
      <c r="D252" s="41" t="s">
        <v>11</v>
      </c>
      <c r="E252" s="41" t="s">
        <v>66</v>
      </c>
      <c r="F252" s="42">
        <v>2</v>
      </c>
      <c r="G252" s="41" t="s">
        <v>315</v>
      </c>
      <c r="H252" s="41" t="s">
        <v>377</v>
      </c>
      <c r="I252" s="42"/>
      <c r="J252" s="201">
        <f>SUM(J253:J255)</f>
        <v>2878.9</v>
      </c>
      <c r="K252" s="201">
        <f>SUM(K253:K255)</f>
        <v>2482.6</v>
      </c>
    </row>
    <row r="253" spans="1:11" ht="15.75">
      <c r="A253" s="40" t="s">
        <v>115</v>
      </c>
      <c r="B253" s="41" t="s">
        <v>24</v>
      </c>
      <c r="C253" s="41" t="s">
        <v>19</v>
      </c>
      <c r="D253" s="41" t="s">
        <v>11</v>
      </c>
      <c r="E253" s="41" t="s">
        <v>66</v>
      </c>
      <c r="F253" s="42">
        <v>2</v>
      </c>
      <c r="G253" s="41" t="s">
        <v>315</v>
      </c>
      <c r="H253" s="41" t="s">
        <v>377</v>
      </c>
      <c r="I253" s="42">
        <v>110</v>
      </c>
      <c r="J253" s="201">
        <v>1867.3</v>
      </c>
      <c r="K253" s="201">
        <v>1584.5</v>
      </c>
    </row>
    <row r="254" spans="1:11" ht="31.5">
      <c r="A254" s="46" t="s">
        <v>137</v>
      </c>
      <c r="B254" s="41" t="s">
        <v>24</v>
      </c>
      <c r="C254" s="41" t="s">
        <v>19</v>
      </c>
      <c r="D254" s="41" t="s">
        <v>11</v>
      </c>
      <c r="E254" s="41" t="s">
        <v>66</v>
      </c>
      <c r="F254" s="42">
        <v>2</v>
      </c>
      <c r="G254" s="41" t="s">
        <v>315</v>
      </c>
      <c r="H254" s="41" t="s">
        <v>377</v>
      </c>
      <c r="I254" s="42">
        <v>240</v>
      </c>
      <c r="J254" s="201">
        <f>1530-500-38.4</f>
        <v>991.6</v>
      </c>
      <c r="K254" s="201">
        <v>898</v>
      </c>
    </row>
    <row r="255" spans="1:11" ht="15.75">
      <c r="A255" s="40" t="s">
        <v>117</v>
      </c>
      <c r="B255" s="41" t="s">
        <v>24</v>
      </c>
      <c r="C255" s="41" t="s">
        <v>19</v>
      </c>
      <c r="D255" s="41" t="s">
        <v>11</v>
      </c>
      <c r="E255" s="41" t="s">
        <v>66</v>
      </c>
      <c r="F255" s="42">
        <v>2</v>
      </c>
      <c r="G255" s="41" t="s">
        <v>315</v>
      </c>
      <c r="H255" s="41" t="s">
        <v>377</v>
      </c>
      <c r="I255" s="42">
        <v>850</v>
      </c>
      <c r="J255" s="201">
        <v>20</v>
      </c>
      <c r="K255" s="201">
        <v>0.1</v>
      </c>
    </row>
    <row r="256" spans="1:11" ht="15.75">
      <c r="A256" s="46" t="s">
        <v>450</v>
      </c>
      <c r="B256" s="41" t="s">
        <v>24</v>
      </c>
      <c r="C256" s="41" t="s">
        <v>19</v>
      </c>
      <c r="D256" s="41" t="s">
        <v>11</v>
      </c>
      <c r="E256" s="41" t="s">
        <v>66</v>
      </c>
      <c r="F256" s="42">
        <v>5</v>
      </c>
      <c r="G256" s="41" t="s">
        <v>315</v>
      </c>
      <c r="H256" s="41" t="s">
        <v>423</v>
      </c>
      <c r="I256" s="42"/>
      <c r="J256" s="201">
        <f>J257+J259</f>
        <v>9250.5999999999985</v>
      </c>
      <c r="K256" s="201">
        <f>K257+K259</f>
        <v>8999.5</v>
      </c>
    </row>
    <row r="257" spans="1:11" ht="31.5">
      <c r="A257" s="46" t="s">
        <v>76</v>
      </c>
      <c r="B257" s="41" t="s">
        <v>24</v>
      </c>
      <c r="C257" s="41" t="s">
        <v>19</v>
      </c>
      <c r="D257" s="41" t="s">
        <v>11</v>
      </c>
      <c r="E257" s="41" t="s">
        <v>66</v>
      </c>
      <c r="F257" s="42">
        <v>5</v>
      </c>
      <c r="G257" s="41" t="s">
        <v>315</v>
      </c>
      <c r="H257" s="41" t="s">
        <v>377</v>
      </c>
      <c r="I257" s="42"/>
      <c r="J257" s="201">
        <f>J258</f>
        <v>9157.7999999999993</v>
      </c>
      <c r="K257" s="201">
        <f>K258</f>
        <v>8906.7999999999993</v>
      </c>
    </row>
    <row r="258" spans="1:11" ht="15.75">
      <c r="A258" s="40" t="s">
        <v>451</v>
      </c>
      <c r="B258" s="41" t="s">
        <v>24</v>
      </c>
      <c r="C258" s="41" t="s">
        <v>19</v>
      </c>
      <c r="D258" s="41" t="s">
        <v>11</v>
      </c>
      <c r="E258" s="41" t="s">
        <v>66</v>
      </c>
      <c r="F258" s="42">
        <v>5</v>
      </c>
      <c r="G258" s="41" t="s">
        <v>315</v>
      </c>
      <c r="H258" s="41" t="s">
        <v>377</v>
      </c>
      <c r="I258" s="42">
        <v>620</v>
      </c>
      <c r="J258" s="201">
        <f>8827.2-1000+72.8-11.5+1000+100+169.3</f>
        <v>9157.7999999999993</v>
      </c>
      <c r="K258" s="201">
        <v>8906.7999999999993</v>
      </c>
    </row>
    <row r="259" spans="1:11" ht="94.5">
      <c r="A259" s="40" t="s">
        <v>546</v>
      </c>
      <c r="B259" s="41" t="s">
        <v>24</v>
      </c>
      <c r="C259" s="41" t="s">
        <v>19</v>
      </c>
      <c r="D259" s="41" t="s">
        <v>11</v>
      </c>
      <c r="E259" s="41" t="s">
        <v>66</v>
      </c>
      <c r="F259" s="42">
        <v>5</v>
      </c>
      <c r="G259" s="41" t="s">
        <v>315</v>
      </c>
      <c r="H259" s="41" t="s">
        <v>547</v>
      </c>
      <c r="I259" s="42"/>
      <c r="J259" s="201">
        <f>J260</f>
        <v>92.8</v>
      </c>
      <c r="K259" s="201">
        <f>K260</f>
        <v>92.7</v>
      </c>
    </row>
    <row r="260" spans="1:11" ht="31.5">
      <c r="A260" s="40" t="s">
        <v>38</v>
      </c>
      <c r="B260" s="41" t="s">
        <v>24</v>
      </c>
      <c r="C260" s="41" t="s">
        <v>19</v>
      </c>
      <c r="D260" s="41" t="s">
        <v>11</v>
      </c>
      <c r="E260" s="41" t="s">
        <v>66</v>
      </c>
      <c r="F260" s="42">
        <v>5</v>
      </c>
      <c r="G260" s="41" t="s">
        <v>315</v>
      </c>
      <c r="H260" s="41" t="s">
        <v>547</v>
      </c>
      <c r="I260" s="42">
        <v>540</v>
      </c>
      <c r="J260" s="201">
        <f>92.8</f>
        <v>92.8</v>
      </c>
      <c r="K260" s="201">
        <v>92.7</v>
      </c>
    </row>
    <row r="261" spans="1:11" ht="47.25">
      <c r="A261" s="40" t="s">
        <v>132</v>
      </c>
      <c r="B261" s="41" t="s">
        <v>24</v>
      </c>
      <c r="C261" s="41" t="s">
        <v>19</v>
      </c>
      <c r="D261" s="41" t="s">
        <v>11</v>
      </c>
      <c r="E261" s="41" t="s">
        <v>18</v>
      </c>
      <c r="F261" s="42">
        <v>0</v>
      </c>
      <c r="G261" s="41" t="s">
        <v>315</v>
      </c>
      <c r="H261" s="41" t="s">
        <v>423</v>
      </c>
      <c r="I261" s="42"/>
      <c r="J261" s="192">
        <f>J262</f>
        <v>67</v>
      </c>
      <c r="K261" s="192">
        <f>K262</f>
        <v>43</v>
      </c>
    </row>
    <row r="262" spans="1:11" ht="31.5">
      <c r="A262" s="40" t="s">
        <v>131</v>
      </c>
      <c r="B262" s="41" t="s">
        <v>24</v>
      </c>
      <c r="C262" s="41" t="s">
        <v>19</v>
      </c>
      <c r="D262" s="41" t="s">
        <v>11</v>
      </c>
      <c r="E262" s="41" t="s">
        <v>18</v>
      </c>
      <c r="F262" s="42">
        <v>3</v>
      </c>
      <c r="G262" s="41" t="s">
        <v>315</v>
      </c>
      <c r="H262" s="41" t="s">
        <v>423</v>
      </c>
      <c r="I262" s="42"/>
      <c r="J262" s="192">
        <f>J264+J266</f>
        <v>67</v>
      </c>
      <c r="K262" s="192">
        <f>K264+K266</f>
        <v>43</v>
      </c>
    </row>
    <row r="263" spans="1:11" ht="15.75">
      <c r="A263" s="40" t="s">
        <v>338</v>
      </c>
      <c r="B263" s="41" t="s">
        <v>24</v>
      </c>
      <c r="C263" s="41" t="s">
        <v>19</v>
      </c>
      <c r="D263" s="41" t="s">
        <v>11</v>
      </c>
      <c r="E263" s="41" t="s">
        <v>18</v>
      </c>
      <c r="F263" s="42">
        <v>3</v>
      </c>
      <c r="G263" s="41" t="s">
        <v>11</v>
      </c>
      <c r="H263" s="41" t="s">
        <v>423</v>
      </c>
      <c r="I263" s="42"/>
      <c r="J263" s="192">
        <f>J264</f>
        <v>57</v>
      </c>
      <c r="K263" s="192">
        <f>K264</f>
        <v>40.4</v>
      </c>
    </row>
    <row r="264" spans="1:11" ht="47.25">
      <c r="A264" s="46" t="s">
        <v>125</v>
      </c>
      <c r="B264" s="41" t="s">
        <v>24</v>
      </c>
      <c r="C264" s="41" t="s">
        <v>19</v>
      </c>
      <c r="D264" s="41" t="s">
        <v>11</v>
      </c>
      <c r="E264" s="41" t="s">
        <v>18</v>
      </c>
      <c r="F264" s="41" t="s">
        <v>130</v>
      </c>
      <c r="G264" s="41" t="s">
        <v>11</v>
      </c>
      <c r="H264" s="41" t="s">
        <v>339</v>
      </c>
      <c r="I264" s="41"/>
      <c r="J264" s="192">
        <f>J265</f>
        <v>57</v>
      </c>
      <c r="K264" s="192">
        <f>K265</f>
        <v>40.4</v>
      </c>
    </row>
    <row r="265" spans="1:11" ht="31.5">
      <c r="A265" s="46" t="s">
        <v>137</v>
      </c>
      <c r="B265" s="41" t="s">
        <v>24</v>
      </c>
      <c r="C265" s="41" t="s">
        <v>19</v>
      </c>
      <c r="D265" s="41" t="s">
        <v>11</v>
      </c>
      <c r="E265" s="41" t="s">
        <v>18</v>
      </c>
      <c r="F265" s="41" t="s">
        <v>130</v>
      </c>
      <c r="G265" s="41" t="s">
        <v>11</v>
      </c>
      <c r="H265" s="41" t="s">
        <v>339</v>
      </c>
      <c r="I265" s="41" t="s">
        <v>127</v>
      </c>
      <c r="J265" s="192">
        <f>31.7+50-24.7</f>
        <v>57</v>
      </c>
      <c r="K265" s="192">
        <v>40.4</v>
      </c>
    </row>
    <row r="266" spans="1:11" ht="15.75">
      <c r="A266" s="40" t="s">
        <v>342</v>
      </c>
      <c r="B266" s="41" t="s">
        <v>24</v>
      </c>
      <c r="C266" s="41" t="s">
        <v>19</v>
      </c>
      <c r="D266" s="41" t="s">
        <v>11</v>
      </c>
      <c r="E266" s="41" t="s">
        <v>18</v>
      </c>
      <c r="F266" s="42">
        <v>3</v>
      </c>
      <c r="G266" s="41" t="s">
        <v>13</v>
      </c>
      <c r="H266" s="41" t="s">
        <v>423</v>
      </c>
      <c r="I266" s="42"/>
      <c r="J266" s="192">
        <f>J267</f>
        <v>10</v>
      </c>
      <c r="K266" s="192">
        <f>K267</f>
        <v>2.6</v>
      </c>
    </row>
    <row r="267" spans="1:11" ht="47.25">
      <c r="A267" s="46" t="s">
        <v>125</v>
      </c>
      <c r="B267" s="41" t="s">
        <v>24</v>
      </c>
      <c r="C267" s="41" t="s">
        <v>19</v>
      </c>
      <c r="D267" s="41" t="s">
        <v>11</v>
      </c>
      <c r="E267" s="41" t="s">
        <v>18</v>
      </c>
      <c r="F267" s="41" t="s">
        <v>130</v>
      </c>
      <c r="G267" s="41" t="s">
        <v>13</v>
      </c>
      <c r="H267" s="41" t="s">
        <v>339</v>
      </c>
      <c r="I267" s="41"/>
      <c r="J267" s="192">
        <f>J268</f>
        <v>10</v>
      </c>
      <c r="K267" s="192">
        <f>K268</f>
        <v>2.6</v>
      </c>
    </row>
    <row r="268" spans="1:11" ht="31.5">
      <c r="A268" s="46" t="s">
        <v>137</v>
      </c>
      <c r="B268" s="41" t="s">
        <v>24</v>
      </c>
      <c r="C268" s="41" t="s">
        <v>19</v>
      </c>
      <c r="D268" s="41" t="s">
        <v>11</v>
      </c>
      <c r="E268" s="41" t="s">
        <v>18</v>
      </c>
      <c r="F268" s="41" t="s">
        <v>130</v>
      </c>
      <c r="G268" s="41" t="s">
        <v>13</v>
      </c>
      <c r="H268" s="41" t="s">
        <v>339</v>
      </c>
      <c r="I268" s="41" t="s">
        <v>127</v>
      </c>
      <c r="J268" s="192">
        <v>10</v>
      </c>
      <c r="K268" s="192">
        <v>2.6</v>
      </c>
    </row>
    <row r="269" spans="1:11" ht="63">
      <c r="A269" s="40" t="s">
        <v>429</v>
      </c>
      <c r="B269" s="41" t="s">
        <v>24</v>
      </c>
      <c r="C269" s="41" t="s">
        <v>19</v>
      </c>
      <c r="D269" s="41" t="s">
        <v>11</v>
      </c>
      <c r="E269" s="41" t="s">
        <v>36</v>
      </c>
      <c r="F269" s="42">
        <v>0</v>
      </c>
      <c r="G269" s="41" t="s">
        <v>315</v>
      </c>
      <c r="H269" s="41" t="s">
        <v>423</v>
      </c>
      <c r="I269" s="42"/>
      <c r="J269" s="192">
        <f t="shared" ref="J269:K271" si="15">J270</f>
        <v>791</v>
      </c>
      <c r="K269" s="192">
        <f t="shared" si="15"/>
        <v>268.3</v>
      </c>
    </row>
    <row r="270" spans="1:11" ht="15.75">
      <c r="A270" s="46" t="s">
        <v>382</v>
      </c>
      <c r="B270" s="41" t="s">
        <v>24</v>
      </c>
      <c r="C270" s="41" t="s">
        <v>19</v>
      </c>
      <c r="D270" s="41" t="s">
        <v>11</v>
      </c>
      <c r="E270" s="41" t="s">
        <v>36</v>
      </c>
      <c r="F270" s="41" t="s">
        <v>128</v>
      </c>
      <c r="G270" s="41" t="s">
        <v>11</v>
      </c>
      <c r="H270" s="41" t="s">
        <v>423</v>
      </c>
      <c r="I270" s="41"/>
      <c r="J270" s="192">
        <f t="shared" si="15"/>
        <v>791</v>
      </c>
      <c r="K270" s="192">
        <f t="shared" si="15"/>
        <v>268.3</v>
      </c>
    </row>
    <row r="271" spans="1:11" ht="31.5">
      <c r="A271" s="46" t="s">
        <v>383</v>
      </c>
      <c r="B271" s="41" t="s">
        <v>24</v>
      </c>
      <c r="C271" s="41" t="s">
        <v>19</v>
      </c>
      <c r="D271" s="41" t="s">
        <v>11</v>
      </c>
      <c r="E271" s="41" t="s">
        <v>36</v>
      </c>
      <c r="F271" s="41" t="s">
        <v>128</v>
      </c>
      <c r="G271" s="41" t="s">
        <v>11</v>
      </c>
      <c r="H271" s="41" t="s">
        <v>384</v>
      </c>
      <c r="I271" s="41"/>
      <c r="J271" s="192">
        <f t="shared" si="15"/>
        <v>791</v>
      </c>
      <c r="K271" s="192">
        <f t="shared" si="15"/>
        <v>268.3</v>
      </c>
    </row>
    <row r="272" spans="1:11" ht="31.5">
      <c r="A272" s="46" t="s">
        <v>137</v>
      </c>
      <c r="B272" s="41" t="s">
        <v>24</v>
      </c>
      <c r="C272" s="41" t="s">
        <v>19</v>
      </c>
      <c r="D272" s="41" t="s">
        <v>11</v>
      </c>
      <c r="E272" s="41" t="s">
        <v>36</v>
      </c>
      <c r="F272" s="41" t="s">
        <v>128</v>
      </c>
      <c r="G272" s="41" t="s">
        <v>11</v>
      </c>
      <c r="H272" s="41" t="s">
        <v>384</v>
      </c>
      <c r="I272" s="41" t="s">
        <v>127</v>
      </c>
      <c r="J272" s="192">
        <f>300+40-49+500</f>
        <v>791</v>
      </c>
      <c r="K272" s="192">
        <v>268.3</v>
      </c>
    </row>
    <row r="273" spans="1:11" ht="15.75">
      <c r="A273" s="46" t="s">
        <v>58</v>
      </c>
      <c r="B273" s="41" t="s">
        <v>24</v>
      </c>
      <c r="C273" s="41" t="s">
        <v>19</v>
      </c>
      <c r="D273" s="41" t="s">
        <v>11</v>
      </c>
      <c r="E273" s="41" t="s">
        <v>45</v>
      </c>
      <c r="F273" s="42">
        <v>0</v>
      </c>
      <c r="G273" s="41" t="s">
        <v>128</v>
      </c>
      <c r="H273" s="41" t="s">
        <v>423</v>
      </c>
      <c r="I273" s="42"/>
      <c r="J273" s="201">
        <f>J274</f>
        <v>929.8</v>
      </c>
      <c r="K273" s="201">
        <f>K274</f>
        <v>857.59999999999991</v>
      </c>
    </row>
    <row r="274" spans="1:11" ht="15.75">
      <c r="A274" s="46" t="s">
        <v>59</v>
      </c>
      <c r="B274" s="41" t="s">
        <v>24</v>
      </c>
      <c r="C274" s="41" t="s">
        <v>19</v>
      </c>
      <c r="D274" s="41" t="s">
        <v>11</v>
      </c>
      <c r="E274" s="41" t="s">
        <v>45</v>
      </c>
      <c r="F274" s="42">
        <v>9</v>
      </c>
      <c r="G274" s="41" t="s">
        <v>128</v>
      </c>
      <c r="H274" s="41" t="s">
        <v>423</v>
      </c>
      <c r="I274" s="42"/>
      <c r="J274" s="201">
        <f>J275+J277+J279</f>
        <v>929.8</v>
      </c>
      <c r="K274" s="201">
        <f>K275+K277+K279</f>
        <v>857.59999999999991</v>
      </c>
    </row>
    <row r="275" spans="1:11" ht="78.75">
      <c r="A275" s="46" t="s">
        <v>40</v>
      </c>
      <c r="B275" s="41" t="s">
        <v>24</v>
      </c>
      <c r="C275" s="41" t="s">
        <v>19</v>
      </c>
      <c r="D275" s="41" t="s">
        <v>11</v>
      </c>
      <c r="E275" s="41" t="s">
        <v>45</v>
      </c>
      <c r="F275" s="42">
        <v>9</v>
      </c>
      <c r="G275" s="41" t="s">
        <v>315</v>
      </c>
      <c r="H275" s="41" t="s">
        <v>385</v>
      </c>
      <c r="I275" s="42"/>
      <c r="J275" s="201">
        <f>J276</f>
        <v>382.4</v>
      </c>
      <c r="K275" s="201">
        <f>K276</f>
        <v>354.9</v>
      </c>
    </row>
    <row r="276" spans="1:11" ht="31.5">
      <c r="A276" s="46" t="s">
        <v>386</v>
      </c>
      <c r="B276" s="41" t="s">
        <v>24</v>
      </c>
      <c r="C276" s="41" t="s">
        <v>19</v>
      </c>
      <c r="D276" s="41" t="s">
        <v>11</v>
      </c>
      <c r="E276" s="41" t="s">
        <v>45</v>
      </c>
      <c r="F276" s="42">
        <v>9</v>
      </c>
      <c r="G276" s="41" t="s">
        <v>315</v>
      </c>
      <c r="H276" s="41" t="s">
        <v>385</v>
      </c>
      <c r="I276" s="42">
        <v>110</v>
      </c>
      <c r="J276" s="201">
        <v>382.4</v>
      </c>
      <c r="K276" s="201">
        <v>354.9</v>
      </c>
    </row>
    <row r="277" spans="1:11" ht="31.5">
      <c r="A277" s="202" t="s">
        <v>387</v>
      </c>
      <c r="B277" s="41" t="s">
        <v>24</v>
      </c>
      <c r="C277" s="41" t="s">
        <v>19</v>
      </c>
      <c r="D277" s="41" t="s">
        <v>11</v>
      </c>
      <c r="E277" s="41" t="s">
        <v>45</v>
      </c>
      <c r="F277" s="42">
        <v>9</v>
      </c>
      <c r="G277" s="41" t="s">
        <v>315</v>
      </c>
      <c r="H277" s="41" t="s">
        <v>388</v>
      </c>
      <c r="I277" s="42"/>
      <c r="J277" s="201">
        <f>J278</f>
        <v>32.5</v>
      </c>
      <c r="K277" s="201">
        <f>K278</f>
        <v>32.5</v>
      </c>
    </row>
    <row r="278" spans="1:11" ht="15.75">
      <c r="A278" s="40" t="s">
        <v>115</v>
      </c>
      <c r="B278" s="41" t="s">
        <v>24</v>
      </c>
      <c r="C278" s="41" t="s">
        <v>19</v>
      </c>
      <c r="D278" s="41" t="s">
        <v>11</v>
      </c>
      <c r="E278" s="41" t="s">
        <v>45</v>
      </c>
      <c r="F278" s="42">
        <v>9</v>
      </c>
      <c r="G278" s="41" t="s">
        <v>315</v>
      </c>
      <c r="H278" s="41" t="s">
        <v>388</v>
      </c>
      <c r="I278" s="42">
        <v>110</v>
      </c>
      <c r="J278" s="201">
        <v>32.5</v>
      </c>
      <c r="K278" s="201">
        <v>32.5</v>
      </c>
    </row>
    <row r="279" spans="1:11" ht="31.5">
      <c r="A279" s="46" t="s">
        <v>421</v>
      </c>
      <c r="B279" s="41" t="s">
        <v>24</v>
      </c>
      <c r="C279" s="41" t="s">
        <v>19</v>
      </c>
      <c r="D279" s="41" t="s">
        <v>11</v>
      </c>
      <c r="E279" s="41" t="s">
        <v>45</v>
      </c>
      <c r="F279" s="42">
        <v>9</v>
      </c>
      <c r="G279" s="41" t="s">
        <v>315</v>
      </c>
      <c r="H279" s="41" t="s">
        <v>548</v>
      </c>
      <c r="I279" s="42"/>
      <c r="J279" s="201">
        <f>J280</f>
        <v>514.9</v>
      </c>
      <c r="K279" s="201">
        <f>K280</f>
        <v>470.2</v>
      </c>
    </row>
    <row r="280" spans="1:11" ht="31.5">
      <c r="A280" s="40" t="s">
        <v>451</v>
      </c>
      <c r="B280" s="41" t="s">
        <v>24</v>
      </c>
      <c r="C280" s="41" t="s">
        <v>19</v>
      </c>
      <c r="D280" s="41" t="s">
        <v>11</v>
      </c>
      <c r="E280" s="41" t="s">
        <v>45</v>
      </c>
      <c r="F280" s="42">
        <v>9</v>
      </c>
      <c r="G280" s="41" t="s">
        <v>315</v>
      </c>
      <c r="H280" s="41" t="s">
        <v>548</v>
      </c>
      <c r="I280" s="42">
        <v>620</v>
      </c>
      <c r="J280" s="201">
        <v>514.9</v>
      </c>
      <c r="K280" s="201">
        <v>470.2</v>
      </c>
    </row>
    <row r="281" spans="1:11" ht="15.75">
      <c r="A281" s="40" t="s">
        <v>33</v>
      </c>
      <c r="B281" s="41" t="s">
        <v>24</v>
      </c>
      <c r="C281" s="41" t="s">
        <v>19</v>
      </c>
      <c r="D281" s="41" t="s">
        <v>15</v>
      </c>
      <c r="E281" s="41"/>
      <c r="F281" s="42"/>
      <c r="G281" s="41"/>
      <c r="H281" s="41"/>
      <c r="I281" s="42"/>
      <c r="J281" s="192">
        <f>J282</f>
        <v>709.6</v>
      </c>
      <c r="K281" s="192">
        <f>K282</f>
        <v>706</v>
      </c>
    </row>
    <row r="282" spans="1:11" ht="63">
      <c r="A282" s="46" t="s">
        <v>449</v>
      </c>
      <c r="B282" s="41" t="s">
        <v>24</v>
      </c>
      <c r="C282" s="41" t="s">
        <v>19</v>
      </c>
      <c r="D282" s="41" t="s">
        <v>15</v>
      </c>
      <c r="E282" s="41" t="s">
        <v>66</v>
      </c>
      <c r="F282" s="42">
        <v>0</v>
      </c>
      <c r="G282" s="41" t="s">
        <v>315</v>
      </c>
      <c r="H282" s="41" t="s">
        <v>423</v>
      </c>
      <c r="I282" s="42"/>
      <c r="J282" s="192">
        <f>J283</f>
        <v>709.6</v>
      </c>
      <c r="K282" s="192">
        <f>K283</f>
        <v>706</v>
      </c>
    </row>
    <row r="283" spans="1:11" ht="15.75">
      <c r="A283" s="46" t="s">
        <v>82</v>
      </c>
      <c r="B283" s="41" t="s">
        <v>24</v>
      </c>
      <c r="C283" s="41" t="s">
        <v>19</v>
      </c>
      <c r="D283" s="41" t="s">
        <v>15</v>
      </c>
      <c r="E283" s="41" t="s">
        <v>66</v>
      </c>
      <c r="F283" s="42">
        <v>3</v>
      </c>
      <c r="G283" s="41" t="s">
        <v>315</v>
      </c>
      <c r="H283" s="41" t="s">
        <v>423</v>
      </c>
      <c r="I283" s="42"/>
      <c r="J283" s="192">
        <f>J284+J286+J288</f>
        <v>709.6</v>
      </c>
      <c r="K283" s="192">
        <f>K284+K286+K288</f>
        <v>706</v>
      </c>
    </row>
    <row r="284" spans="1:11" ht="15.75">
      <c r="A284" s="46" t="s">
        <v>83</v>
      </c>
      <c r="B284" s="41" t="s">
        <v>24</v>
      </c>
      <c r="C284" s="41" t="s">
        <v>19</v>
      </c>
      <c r="D284" s="41" t="s">
        <v>15</v>
      </c>
      <c r="E284" s="41" t="s">
        <v>66</v>
      </c>
      <c r="F284" s="42">
        <v>3</v>
      </c>
      <c r="G284" s="41" t="s">
        <v>315</v>
      </c>
      <c r="H284" s="41" t="s">
        <v>389</v>
      </c>
      <c r="I284" s="42"/>
      <c r="J284" s="192">
        <f>J285</f>
        <v>100.1</v>
      </c>
      <c r="K284" s="192">
        <f>K285</f>
        <v>100</v>
      </c>
    </row>
    <row r="285" spans="1:11" ht="15.75">
      <c r="A285" s="46" t="s">
        <v>549</v>
      </c>
      <c r="B285" s="41" t="s">
        <v>24</v>
      </c>
      <c r="C285" s="41" t="s">
        <v>19</v>
      </c>
      <c r="D285" s="41" t="s">
        <v>15</v>
      </c>
      <c r="E285" s="41" t="s">
        <v>66</v>
      </c>
      <c r="F285" s="42">
        <v>3</v>
      </c>
      <c r="G285" s="41" t="s">
        <v>315</v>
      </c>
      <c r="H285" s="41" t="s">
        <v>389</v>
      </c>
      <c r="I285" s="42">
        <v>350</v>
      </c>
      <c r="J285" s="192">
        <f>100+0.1</f>
        <v>100.1</v>
      </c>
      <c r="K285" s="192">
        <v>100</v>
      </c>
    </row>
    <row r="286" spans="1:11" ht="15.75">
      <c r="A286" s="46" t="s">
        <v>84</v>
      </c>
      <c r="B286" s="41" t="s">
        <v>24</v>
      </c>
      <c r="C286" s="41" t="s">
        <v>19</v>
      </c>
      <c r="D286" s="41" t="s">
        <v>15</v>
      </c>
      <c r="E286" s="41" t="s">
        <v>66</v>
      </c>
      <c r="F286" s="42">
        <v>3</v>
      </c>
      <c r="G286" s="41" t="s">
        <v>315</v>
      </c>
      <c r="H286" s="41" t="s">
        <v>390</v>
      </c>
      <c r="I286" s="42"/>
      <c r="J286" s="192">
        <f>J287</f>
        <v>311.5</v>
      </c>
      <c r="K286" s="192">
        <f>K287</f>
        <v>311.39999999999998</v>
      </c>
    </row>
    <row r="287" spans="1:11" ht="31.5">
      <c r="A287" s="46" t="s">
        <v>137</v>
      </c>
      <c r="B287" s="41" t="s">
        <v>24</v>
      </c>
      <c r="C287" s="41" t="s">
        <v>19</v>
      </c>
      <c r="D287" s="41" t="s">
        <v>15</v>
      </c>
      <c r="E287" s="41" t="s">
        <v>66</v>
      </c>
      <c r="F287" s="42">
        <v>3</v>
      </c>
      <c r="G287" s="41" t="s">
        <v>315</v>
      </c>
      <c r="H287" s="41" t="s">
        <v>390</v>
      </c>
      <c r="I287" s="42">
        <v>240</v>
      </c>
      <c r="J287" s="192">
        <f>500-188.5</f>
        <v>311.5</v>
      </c>
      <c r="K287" s="192">
        <v>311.39999999999998</v>
      </c>
    </row>
    <row r="288" spans="1:11" ht="15.75">
      <c r="A288" s="46" t="s">
        <v>78</v>
      </c>
      <c r="B288" s="41" t="s">
        <v>24</v>
      </c>
      <c r="C288" s="41" t="s">
        <v>19</v>
      </c>
      <c r="D288" s="41" t="s">
        <v>15</v>
      </c>
      <c r="E288" s="41" t="s">
        <v>66</v>
      </c>
      <c r="F288" s="42">
        <v>3</v>
      </c>
      <c r="G288" s="41" t="s">
        <v>315</v>
      </c>
      <c r="H288" s="41" t="s">
        <v>381</v>
      </c>
      <c r="I288" s="42"/>
      <c r="J288" s="192">
        <f>J289</f>
        <v>298</v>
      </c>
      <c r="K288" s="192">
        <f>K289</f>
        <v>294.60000000000002</v>
      </c>
    </row>
    <row r="289" spans="1:11" ht="31.5">
      <c r="A289" s="46" t="s">
        <v>137</v>
      </c>
      <c r="B289" s="41" t="s">
        <v>24</v>
      </c>
      <c r="C289" s="41" t="s">
        <v>19</v>
      </c>
      <c r="D289" s="41" t="s">
        <v>15</v>
      </c>
      <c r="E289" s="41" t="s">
        <v>66</v>
      </c>
      <c r="F289" s="42">
        <v>3</v>
      </c>
      <c r="G289" s="41" t="s">
        <v>315</v>
      </c>
      <c r="H289" s="41" t="s">
        <v>381</v>
      </c>
      <c r="I289" s="42">
        <v>240</v>
      </c>
      <c r="J289" s="192">
        <f>170+228-100</f>
        <v>298</v>
      </c>
      <c r="K289" s="192">
        <v>294.60000000000002</v>
      </c>
    </row>
    <row r="290" spans="1:11" ht="15.75">
      <c r="A290" s="202" t="s">
        <v>281</v>
      </c>
      <c r="B290" s="41" t="s">
        <v>24</v>
      </c>
      <c r="C290" s="41">
        <v>10</v>
      </c>
      <c r="D290" s="41"/>
      <c r="E290" s="41"/>
      <c r="F290" s="42"/>
      <c r="G290" s="41"/>
      <c r="H290" s="41"/>
      <c r="I290" s="42"/>
      <c r="J290" s="192">
        <f>J291</f>
        <v>577.70000000000005</v>
      </c>
      <c r="K290" s="192">
        <f>K291</f>
        <v>575.4</v>
      </c>
    </row>
    <row r="291" spans="1:11" ht="15.75">
      <c r="A291" s="40" t="s">
        <v>39</v>
      </c>
      <c r="B291" s="41" t="s">
        <v>24</v>
      </c>
      <c r="C291" s="41" t="s">
        <v>36</v>
      </c>
      <c r="D291" s="41" t="s">
        <v>12</v>
      </c>
      <c r="E291" s="41"/>
      <c r="F291" s="41"/>
      <c r="G291" s="41"/>
      <c r="H291" s="41"/>
      <c r="I291" s="42"/>
      <c r="J291" s="192">
        <f>J292+J296</f>
        <v>577.70000000000005</v>
      </c>
      <c r="K291" s="192">
        <f>K292+K296</f>
        <v>575.4</v>
      </c>
    </row>
    <row r="292" spans="1:11" ht="31.5">
      <c r="A292" s="46" t="s">
        <v>86</v>
      </c>
      <c r="B292" s="41" t="s">
        <v>24</v>
      </c>
      <c r="C292" s="41" t="s">
        <v>36</v>
      </c>
      <c r="D292" s="41" t="s">
        <v>12</v>
      </c>
      <c r="E292" s="41" t="s">
        <v>85</v>
      </c>
      <c r="F292" s="42">
        <v>0</v>
      </c>
      <c r="G292" s="41" t="s">
        <v>315</v>
      </c>
      <c r="H292" s="41" t="s">
        <v>423</v>
      </c>
      <c r="I292" s="42"/>
      <c r="J292" s="192">
        <f t="shared" ref="J292:K294" si="16">J293</f>
        <v>497.7</v>
      </c>
      <c r="K292" s="192">
        <f t="shared" si="16"/>
        <v>495.4</v>
      </c>
    </row>
    <row r="293" spans="1:11" ht="15.75">
      <c r="A293" s="46" t="s">
        <v>87</v>
      </c>
      <c r="B293" s="41" t="s">
        <v>24</v>
      </c>
      <c r="C293" s="41" t="s">
        <v>36</v>
      </c>
      <c r="D293" s="41" t="s">
        <v>12</v>
      </c>
      <c r="E293" s="41" t="s">
        <v>85</v>
      </c>
      <c r="F293" s="42">
        <v>3</v>
      </c>
      <c r="G293" s="41" t="s">
        <v>315</v>
      </c>
      <c r="H293" s="41" t="s">
        <v>423</v>
      </c>
      <c r="I293" s="42"/>
      <c r="J293" s="192">
        <f t="shared" si="16"/>
        <v>497.7</v>
      </c>
      <c r="K293" s="192">
        <f t="shared" si="16"/>
        <v>495.4</v>
      </c>
    </row>
    <row r="294" spans="1:11" ht="31.5">
      <c r="A294" s="46" t="s">
        <v>88</v>
      </c>
      <c r="B294" s="41" t="s">
        <v>24</v>
      </c>
      <c r="C294" s="41" t="s">
        <v>36</v>
      </c>
      <c r="D294" s="41" t="s">
        <v>12</v>
      </c>
      <c r="E294" s="41" t="s">
        <v>85</v>
      </c>
      <c r="F294" s="42">
        <v>3</v>
      </c>
      <c r="G294" s="41" t="s">
        <v>315</v>
      </c>
      <c r="H294" s="41" t="s">
        <v>391</v>
      </c>
      <c r="I294" s="42"/>
      <c r="J294" s="192">
        <f t="shared" si="16"/>
        <v>497.7</v>
      </c>
      <c r="K294" s="192">
        <f t="shared" si="16"/>
        <v>495.4</v>
      </c>
    </row>
    <row r="295" spans="1:11" ht="47.25">
      <c r="A295" s="46" t="s">
        <v>531</v>
      </c>
      <c r="B295" s="41" t="s">
        <v>24</v>
      </c>
      <c r="C295" s="41" t="s">
        <v>36</v>
      </c>
      <c r="D295" s="41" t="s">
        <v>12</v>
      </c>
      <c r="E295" s="41" t="s">
        <v>85</v>
      </c>
      <c r="F295" s="42">
        <v>3</v>
      </c>
      <c r="G295" s="41" t="s">
        <v>315</v>
      </c>
      <c r="H295" s="41" t="s">
        <v>391</v>
      </c>
      <c r="I295" s="42">
        <v>810</v>
      </c>
      <c r="J295" s="192">
        <v>497.7</v>
      </c>
      <c r="K295" s="192">
        <v>495.4</v>
      </c>
    </row>
    <row r="296" spans="1:11" ht="15.75">
      <c r="A296" s="46" t="s">
        <v>58</v>
      </c>
      <c r="B296" s="41" t="s">
        <v>24</v>
      </c>
      <c r="C296" s="41" t="s">
        <v>36</v>
      </c>
      <c r="D296" s="41" t="s">
        <v>12</v>
      </c>
      <c r="E296" s="41" t="s">
        <v>45</v>
      </c>
      <c r="F296" s="42">
        <v>0</v>
      </c>
      <c r="G296" s="41" t="s">
        <v>315</v>
      </c>
      <c r="H296" s="41" t="s">
        <v>423</v>
      </c>
      <c r="I296" s="42"/>
      <c r="J296" s="192">
        <f t="shared" ref="J296:K298" si="17">J297</f>
        <v>80</v>
      </c>
      <c r="K296" s="192">
        <f t="shared" si="17"/>
        <v>80</v>
      </c>
    </row>
    <row r="297" spans="1:11" ht="15.75">
      <c r="A297" s="46" t="s">
        <v>59</v>
      </c>
      <c r="B297" s="41" t="s">
        <v>24</v>
      </c>
      <c r="C297" s="41" t="s">
        <v>36</v>
      </c>
      <c r="D297" s="41" t="s">
        <v>12</v>
      </c>
      <c r="E297" s="41" t="s">
        <v>45</v>
      </c>
      <c r="F297" s="42">
        <v>9</v>
      </c>
      <c r="G297" s="41" t="s">
        <v>315</v>
      </c>
      <c r="H297" s="41" t="s">
        <v>423</v>
      </c>
      <c r="I297" s="42"/>
      <c r="J297" s="192">
        <f t="shared" si="17"/>
        <v>80</v>
      </c>
      <c r="K297" s="192">
        <f t="shared" si="17"/>
        <v>80</v>
      </c>
    </row>
    <row r="298" spans="1:11" ht="15.75">
      <c r="A298" s="46" t="s">
        <v>392</v>
      </c>
      <c r="B298" s="41" t="s">
        <v>24</v>
      </c>
      <c r="C298" s="41" t="s">
        <v>36</v>
      </c>
      <c r="D298" s="41" t="s">
        <v>12</v>
      </c>
      <c r="E298" s="41" t="s">
        <v>45</v>
      </c>
      <c r="F298" s="42">
        <v>9</v>
      </c>
      <c r="G298" s="41" t="s">
        <v>315</v>
      </c>
      <c r="H298" s="41" t="s">
        <v>393</v>
      </c>
      <c r="I298" s="42"/>
      <c r="J298" s="201">
        <f t="shared" si="17"/>
        <v>80</v>
      </c>
      <c r="K298" s="201">
        <f t="shared" si="17"/>
        <v>80</v>
      </c>
    </row>
    <row r="299" spans="1:11" ht="15.75">
      <c r="A299" s="46" t="s">
        <v>120</v>
      </c>
      <c r="B299" s="41" t="s">
        <v>24</v>
      </c>
      <c r="C299" s="41" t="s">
        <v>36</v>
      </c>
      <c r="D299" s="41" t="s">
        <v>12</v>
      </c>
      <c r="E299" s="41" t="s">
        <v>45</v>
      </c>
      <c r="F299" s="42">
        <v>9</v>
      </c>
      <c r="G299" s="41" t="s">
        <v>315</v>
      </c>
      <c r="H299" s="41" t="s">
        <v>393</v>
      </c>
      <c r="I299" s="42">
        <v>310</v>
      </c>
      <c r="J299" s="201">
        <f>50+15+15</f>
        <v>80</v>
      </c>
      <c r="K299" s="201">
        <v>80</v>
      </c>
    </row>
    <row r="300" spans="1:11" ht="15.75">
      <c r="A300" s="202" t="s">
        <v>282</v>
      </c>
      <c r="B300" s="41" t="s">
        <v>24</v>
      </c>
      <c r="C300" s="41">
        <v>11</v>
      </c>
      <c r="D300" s="41"/>
      <c r="E300" s="41"/>
      <c r="F300" s="42"/>
      <c r="G300" s="41"/>
      <c r="H300" s="41"/>
      <c r="I300" s="42"/>
      <c r="J300" s="192">
        <f t="shared" ref="J300:K302" si="18">J301</f>
        <v>3135</v>
      </c>
      <c r="K300" s="192">
        <f t="shared" si="18"/>
        <v>2823.3</v>
      </c>
    </row>
    <row r="301" spans="1:11" ht="15.75">
      <c r="A301" s="40" t="s">
        <v>34</v>
      </c>
      <c r="B301" s="41" t="s">
        <v>24</v>
      </c>
      <c r="C301" s="41">
        <v>11</v>
      </c>
      <c r="D301" s="41" t="s">
        <v>16</v>
      </c>
      <c r="E301" s="41"/>
      <c r="F301" s="42"/>
      <c r="G301" s="41"/>
      <c r="H301" s="41"/>
      <c r="I301" s="42"/>
      <c r="J301" s="192">
        <f t="shared" si="18"/>
        <v>3135</v>
      </c>
      <c r="K301" s="192">
        <f t="shared" si="18"/>
        <v>2823.3</v>
      </c>
    </row>
    <row r="302" spans="1:11" ht="63">
      <c r="A302" s="46" t="s">
        <v>449</v>
      </c>
      <c r="B302" s="41" t="s">
        <v>24</v>
      </c>
      <c r="C302" s="41" t="s">
        <v>37</v>
      </c>
      <c r="D302" s="41" t="s">
        <v>16</v>
      </c>
      <c r="E302" s="41" t="s">
        <v>66</v>
      </c>
      <c r="F302" s="42">
        <v>0</v>
      </c>
      <c r="G302" s="41" t="s">
        <v>315</v>
      </c>
      <c r="H302" s="41" t="s">
        <v>423</v>
      </c>
      <c r="I302" s="42"/>
      <c r="J302" s="192">
        <f t="shared" si="18"/>
        <v>3135</v>
      </c>
      <c r="K302" s="192">
        <f t="shared" si="18"/>
        <v>2823.3</v>
      </c>
    </row>
    <row r="303" spans="1:11" ht="47.25">
      <c r="A303" s="46" t="s">
        <v>89</v>
      </c>
      <c r="B303" s="41" t="s">
        <v>24</v>
      </c>
      <c r="C303" s="41" t="s">
        <v>37</v>
      </c>
      <c r="D303" s="41" t="s">
        <v>16</v>
      </c>
      <c r="E303" s="41" t="s">
        <v>66</v>
      </c>
      <c r="F303" s="42">
        <v>4</v>
      </c>
      <c r="G303" s="41" t="s">
        <v>315</v>
      </c>
      <c r="H303" s="41" t="s">
        <v>423</v>
      </c>
      <c r="I303" s="42"/>
      <c r="J303" s="192">
        <f>J304+J306+J308</f>
        <v>3135</v>
      </c>
      <c r="K303" s="192">
        <f>K304+K306+K308</f>
        <v>2823.3</v>
      </c>
    </row>
    <row r="304" spans="1:11" ht="15.75">
      <c r="A304" s="46" t="s">
        <v>90</v>
      </c>
      <c r="B304" s="41" t="s">
        <v>24</v>
      </c>
      <c r="C304" s="41" t="s">
        <v>37</v>
      </c>
      <c r="D304" s="41" t="s">
        <v>16</v>
      </c>
      <c r="E304" s="41" t="s">
        <v>66</v>
      </c>
      <c r="F304" s="42">
        <v>4</v>
      </c>
      <c r="G304" s="41" t="s">
        <v>315</v>
      </c>
      <c r="H304" s="41" t="s">
        <v>394</v>
      </c>
      <c r="I304" s="42"/>
      <c r="J304" s="192">
        <f>J305</f>
        <v>275</v>
      </c>
      <c r="K304" s="192">
        <f>K305</f>
        <v>275</v>
      </c>
    </row>
    <row r="305" spans="1:11" ht="31.5">
      <c r="A305" s="46" t="s">
        <v>137</v>
      </c>
      <c r="B305" s="41" t="s">
        <v>24</v>
      </c>
      <c r="C305" s="41" t="s">
        <v>37</v>
      </c>
      <c r="D305" s="41" t="s">
        <v>16</v>
      </c>
      <c r="E305" s="41" t="s">
        <v>66</v>
      </c>
      <c r="F305" s="42">
        <v>4</v>
      </c>
      <c r="G305" s="41" t="s">
        <v>315</v>
      </c>
      <c r="H305" s="41" t="s">
        <v>394</v>
      </c>
      <c r="I305" s="42">
        <v>240</v>
      </c>
      <c r="J305" s="192">
        <v>275</v>
      </c>
      <c r="K305" s="192">
        <v>275</v>
      </c>
    </row>
    <row r="306" spans="1:11" ht="15.75">
      <c r="A306" s="46" t="s">
        <v>74</v>
      </c>
      <c r="B306" s="41" t="s">
        <v>24</v>
      </c>
      <c r="C306" s="41" t="s">
        <v>37</v>
      </c>
      <c r="D306" s="41" t="s">
        <v>16</v>
      </c>
      <c r="E306" s="41" t="s">
        <v>66</v>
      </c>
      <c r="F306" s="42">
        <v>4</v>
      </c>
      <c r="G306" s="41" t="s">
        <v>315</v>
      </c>
      <c r="H306" s="41" t="s">
        <v>371</v>
      </c>
      <c r="I306" s="42"/>
      <c r="J306" s="192">
        <f>J307</f>
        <v>1360</v>
      </c>
      <c r="K306" s="192">
        <f>K307</f>
        <v>1048.3</v>
      </c>
    </row>
    <row r="307" spans="1:11" ht="31.5">
      <c r="A307" s="46" t="s">
        <v>137</v>
      </c>
      <c r="B307" s="41" t="s">
        <v>24</v>
      </c>
      <c r="C307" s="41" t="s">
        <v>37</v>
      </c>
      <c r="D307" s="41" t="s">
        <v>16</v>
      </c>
      <c r="E307" s="41" t="s">
        <v>66</v>
      </c>
      <c r="F307" s="42">
        <v>4</v>
      </c>
      <c r="G307" s="41" t="s">
        <v>315</v>
      </c>
      <c r="H307" s="41" t="s">
        <v>371</v>
      </c>
      <c r="I307" s="42">
        <v>240</v>
      </c>
      <c r="J307" s="192">
        <v>1360</v>
      </c>
      <c r="K307" s="192">
        <v>1048.3</v>
      </c>
    </row>
    <row r="308" spans="1:11" ht="15.75">
      <c r="A308" s="46" t="s">
        <v>91</v>
      </c>
      <c r="B308" s="41" t="s">
        <v>24</v>
      </c>
      <c r="C308" s="41" t="s">
        <v>37</v>
      </c>
      <c r="D308" s="41" t="s">
        <v>16</v>
      </c>
      <c r="E308" s="41" t="s">
        <v>66</v>
      </c>
      <c r="F308" s="42">
        <v>4</v>
      </c>
      <c r="G308" s="41" t="s">
        <v>315</v>
      </c>
      <c r="H308" s="41" t="s">
        <v>395</v>
      </c>
      <c r="I308" s="42"/>
      <c r="J308" s="192">
        <f>J309</f>
        <v>1500</v>
      </c>
      <c r="K308" s="192">
        <f>K309</f>
        <v>1500</v>
      </c>
    </row>
    <row r="309" spans="1:11" ht="31.5">
      <c r="A309" s="46" t="s">
        <v>137</v>
      </c>
      <c r="B309" s="41" t="s">
        <v>24</v>
      </c>
      <c r="C309" s="41" t="s">
        <v>37</v>
      </c>
      <c r="D309" s="41" t="s">
        <v>16</v>
      </c>
      <c r="E309" s="41" t="s">
        <v>66</v>
      </c>
      <c r="F309" s="42">
        <v>4</v>
      </c>
      <c r="G309" s="41" t="s">
        <v>315</v>
      </c>
      <c r="H309" s="41" t="s">
        <v>395</v>
      </c>
      <c r="I309" s="42">
        <v>240</v>
      </c>
      <c r="J309" s="192">
        <v>1500</v>
      </c>
      <c r="K309" s="192">
        <v>1500</v>
      </c>
    </row>
    <row r="310" spans="1:11" ht="15.75">
      <c r="A310" s="202" t="s">
        <v>398</v>
      </c>
      <c r="B310" s="41" t="s">
        <v>24</v>
      </c>
      <c r="C310" s="41" t="s">
        <v>43</v>
      </c>
      <c r="D310" s="41"/>
      <c r="E310" s="41"/>
      <c r="F310" s="42"/>
      <c r="G310" s="41"/>
      <c r="H310" s="41"/>
      <c r="I310" s="42"/>
      <c r="J310" s="192">
        <f t="shared" ref="J310:K314" si="19">J311</f>
        <v>250</v>
      </c>
      <c r="K310" s="192">
        <f t="shared" si="19"/>
        <v>187.1</v>
      </c>
    </row>
    <row r="311" spans="1:11" ht="15.75">
      <c r="A311" s="40" t="s">
        <v>396</v>
      </c>
      <c r="B311" s="41" t="s">
        <v>24</v>
      </c>
      <c r="C311" s="41" t="s">
        <v>43</v>
      </c>
      <c r="D311" s="41" t="s">
        <v>13</v>
      </c>
      <c r="E311" s="41"/>
      <c r="F311" s="42"/>
      <c r="G311" s="41"/>
      <c r="H311" s="41"/>
      <c r="I311" s="42"/>
      <c r="J311" s="192">
        <f t="shared" si="19"/>
        <v>250</v>
      </c>
      <c r="K311" s="192">
        <f t="shared" si="19"/>
        <v>187.1</v>
      </c>
    </row>
    <row r="312" spans="1:11" ht="47.25">
      <c r="A312" s="46" t="s">
        <v>422</v>
      </c>
      <c r="B312" s="41" t="s">
        <v>24</v>
      </c>
      <c r="C312" s="41" t="s">
        <v>43</v>
      </c>
      <c r="D312" s="41" t="s">
        <v>13</v>
      </c>
      <c r="E312" s="41" t="s">
        <v>37</v>
      </c>
      <c r="F312" s="42">
        <v>0</v>
      </c>
      <c r="G312" s="41" t="s">
        <v>315</v>
      </c>
      <c r="H312" s="41" t="s">
        <v>423</v>
      </c>
      <c r="I312" s="42"/>
      <c r="J312" s="192">
        <f t="shared" si="19"/>
        <v>250</v>
      </c>
      <c r="K312" s="192">
        <f t="shared" si="19"/>
        <v>187.1</v>
      </c>
    </row>
    <row r="313" spans="1:11" ht="31.5">
      <c r="A313" s="46" t="s">
        <v>313</v>
      </c>
      <c r="B313" s="41" t="s">
        <v>24</v>
      </c>
      <c r="C313" s="41" t="s">
        <v>43</v>
      </c>
      <c r="D313" s="41" t="s">
        <v>13</v>
      </c>
      <c r="E313" s="41" t="s">
        <v>37</v>
      </c>
      <c r="F313" s="41" t="s">
        <v>128</v>
      </c>
      <c r="G313" s="41" t="s">
        <v>11</v>
      </c>
      <c r="H313" s="41" t="s">
        <v>423</v>
      </c>
      <c r="I313" s="41"/>
      <c r="J313" s="192">
        <f t="shared" si="19"/>
        <v>250</v>
      </c>
      <c r="K313" s="192">
        <f t="shared" si="19"/>
        <v>187.1</v>
      </c>
    </row>
    <row r="314" spans="1:11" ht="31.5">
      <c r="A314" s="46" t="s">
        <v>313</v>
      </c>
      <c r="B314" s="41" t="s">
        <v>24</v>
      </c>
      <c r="C314" s="41" t="s">
        <v>43</v>
      </c>
      <c r="D314" s="41" t="s">
        <v>13</v>
      </c>
      <c r="E314" s="41" t="s">
        <v>37</v>
      </c>
      <c r="F314" s="41" t="s">
        <v>128</v>
      </c>
      <c r="G314" s="41" t="s">
        <v>11</v>
      </c>
      <c r="H314" s="41" t="s">
        <v>314</v>
      </c>
      <c r="I314" s="41"/>
      <c r="J314" s="192">
        <f t="shared" si="19"/>
        <v>250</v>
      </c>
      <c r="K314" s="192">
        <f t="shared" si="19"/>
        <v>187.1</v>
      </c>
    </row>
    <row r="315" spans="1:11" ht="31.5">
      <c r="A315" s="46" t="s">
        <v>137</v>
      </c>
      <c r="B315" s="41" t="s">
        <v>24</v>
      </c>
      <c r="C315" s="41" t="s">
        <v>43</v>
      </c>
      <c r="D315" s="41" t="s">
        <v>13</v>
      </c>
      <c r="E315" s="41" t="s">
        <v>37</v>
      </c>
      <c r="F315" s="41" t="s">
        <v>128</v>
      </c>
      <c r="G315" s="41" t="s">
        <v>11</v>
      </c>
      <c r="H315" s="41" t="s">
        <v>314</v>
      </c>
      <c r="I315" s="41" t="s">
        <v>127</v>
      </c>
      <c r="J315" s="192">
        <f>350-100</f>
        <v>250</v>
      </c>
      <c r="K315" s="192">
        <v>187.1</v>
      </c>
    </row>
    <row r="316" spans="1:11" ht="15.75">
      <c r="A316" s="179" t="s">
        <v>550</v>
      </c>
      <c r="B316" s="180">
        <v>872</v>
      </c>
      <c r="C316" s="181" t="s">
        <v>144</v>
      </c>
      <c r="D316" s="181" t="s">
        <v>144</v>
      </c>
      <c r="E316" s="182" t="s">
        <v>144</v>
      </c>
      <c r="F316" s="183" t="s">
        <v>144</v>
      </c>
      <c r="G316" s="184" t="s">
        <v>144</v>
      </c>
      <c r="H316" s="185" t="s">
        <v>144</v>
      </c>
      <c r="I316" s="183"/>
      <c r="J316" s="186">
        <f>J317+J373+J379+J414+J436+J502+J514+J557+J567+J577</f>
        <v>1392.6000000000001</v>
      </c>
      <c r="K316" s="186">
        <f>K317+K373+K379+K414+K436+K502+K514+K557+K567+K577</f>
        <v>1358.6000000000001</v>
      </c>
    </row>
    <row r="317" spans="1:11" ht="15.75">
      <c r="A317" s="206" t="s">
        <v>273</v>
      </c>
      <c r="B317" s="41" t="s">
        <v>44</v>
      </c>
      <c r="C317" s="41" t="s">
        <v>11</v>
      </c>
      <c r="D317" s="42" t="s">
        <v>9</v>
      </c>
      <c r="E317" s="41" t="s">
        <v>10</v>
      </c>
      <c r="F317" s="42"/>
      <c r="G317" s="41"/>
      <c r="H317" s="41"/>
      <c r="I317" s="42" t="s">
        <v>8</v>
      </c>
      <c r="J317" s="201">
        <f>J318+J326</f>
        <v>1392.6000000000001</v>
      </c>
      <c r="K317" s="201">
        <f>K318+K326</f>
        <v>1358.6000000000001</v>
      </c>
    </row>
    <row r="318" spans="1:11" ht="47.25">
      <c r="A318" s="206" t="s">
        <v>26</v>
      </c>
      <c r="B318" s="41" t="s">
        <v>44</v>
      </c>
      <c r="C318" s="41" t="s">
        <v>11</v>
      </c>
      <c r="D318" s="41" t="s">
        <v>12</v>
      </c>
      <c r="E318" s="41" t="s">
        <v>10</v>
      </c>
      <c r="F318" s="42"/>
      <c r="G318" s="41"/>
      <c r="H318" s="41"/>
      <c r="I318" s="42" t="s">
        <v>8</v>
      </c>
      <c r="J318" s="201">
        <f>J319</f>
        <v>1142.6000000000001</v>
      </c>
      <c r="K318" s="201">
        <f>K319</f>
        <v>1140.9000000000001</v>
      </c>
    </row>
    <row r="319" spans="1:11" ht="15.75">
      <c r="A319" s="40" t="s">
        <v>47</v>
      </c>
      <c r="B319" s="41" t="s">
        <v>44</v>
      </c>
      <c r="C319" s="41" t="s">
        <v>11</v>
      </c>
      <c r="D319" s="41" t="s">
        <v>12</v>
      </c>
      <c r="E319" s="41">
        <v>91</v>
      </c>
      <c r="F319" s="42">
        <v>0</v>
      </c>
      <c r="G319" s="41" t="s">
        <v>128</v>
      </c>
      <c r="H319" s="41" t="s">
        <v>423</v>
      </c>
      <c r="I319" s="42" t="s">
        <v>8</v>
      </c>
      <c r="J319" s="201">
        <f>J320</f>
        <v>1142.6000000000001</v>
      </c>
      <c r="K319" s="201">
        <f>K320</f>
        <v>1140.9000000000001</v>
      </c>
    </row>
    <row r="320" spans="1:11" ht="31.5">
      <c r="A320" s="40" t="s">
        <v>48</v>
      </c>
      <c r="B320" s="41" t="s">
        <v>44</v>
      </c>
      <c r="C320" s="41" t="s">
        <v>11</v>
      </c>
      <c r="D320" s="41" t="s">
        <v>12</v>
      </c>
      <c r="E320" s="41">
        <v>91</v>
      </c>
      <c r="F320" s="42">
        <v>1</v>
      </c>
      <c r="G320" s="41" t="s">
        <v>315</v>
      </c>
      <c r="H320" s="41" t="s">
        <v>423</v>
      </c>
      <c r="I320" s="42"/>
      <c r="J320" s="201">
        <f>J321+J323</f>
        <v>1142.6000000000001</v>
      </c>
      <c r="K320" s="201">
        <f>K321+K323</f>
        <v>1140.9000000000001</v>
      </c>
    </row>
    <row r="321" spans="1:11" ht="63">
      <c r="A321" s="40" t="s">
        <v>49</v>
      </c>
      <c r="B321" s="41" t="s">
        <v>44</v>
      </c>
      <c r="C321" s="41" t="s">
        <v>11</v>
      </c>
      <c r="D321" s="41" t="s">
        <v>12</v>
      </c>
      <c r="E321" s="41">
        <v>91</v>
      </c>
      <c r="F321" s="42">
        <v>1</v>
      </c>
      <c r="G321" s="41" t="s">
        <v>315</v>
      </c>
      <c r="H321" s="41" t="s">
        <v>316</v>
      </c>
      <c r="I321" s="42"/>
      <c r="J321" s="201">
        <f>J322</f>
        <v>1136.1000000000001</v>
      </c>
      <c r="K321" s="201">
        <f>K322</f>
        <v>1134.5</v>
      </c>
    </row>
    <row r="322" spans="1:11" ht="15.75">
      <c r="A322" s="40" t="s">
        <v>116</v>
      </c>
      <c r="B322" s="41" t="s">
        <v>44</v>
      </c>
      <c r="C322" s="41" t="s">
        <v>11</v>
      </c>
      <c r="D322" s="41" t="s">
        <v>12</v>
      </c>
      <c r="E322" s="41">
        <v>91</v>
      </c>
      <c r="F322" s="42">
        <v>1</v>
      </c>
      <c r="G322" s="41" t="s">
        <v>315</v>
      </c>
      <c r="H322" s="41" t="s">
        <v>316</v>
      </c>
      <c r="I322" s="42">
        <v>120</v>
      </c>
      <c r="J322" s="192">
        <f>1144.7-8.6</f>
        <v>1136.1000000000001</v>
      </c>
      <c r="K322" s="192">
        <v>1134.5</v>
      </c>
    </row>
    <row r="323" spans="1:11" ht="63">
      <c r="A323" s="40" t="s">
        <v>50</v>
      </c>
      <c r="B323" s="41" t="s">
        <v>44</v>
      </c>
      <c r="C323" s="41" t="s">
        <v>11</v>
      </c>
      <c r="D323" s="41" t="s">
        <v>12</v>
      </c>
      <c r="E323" s="41">
        <v>91</v>
      </c>
      <c r="F323" s="42">
        <v>1</v>
      </c>
      <c r="G323" s="41" t="s">
        <v>315</v>
      </c>
      <c r="H323" s="41" t="s">
        <v>317</v>
      </c>
      <c r="I323" s="42"/>
      <c r="J323" s="192">
        <f>J324+J325</f>
        <v>6.5000000000000009</v>
      </c>
      <c r="K323" s="192">
        <f>K324+K325</f>
        <v>6.4</v>
      </c>
    </row>
    <row r="324" spans="1:11" ht="31.5">
      <c r="A324" s="46" t="s">
        <v>137</v>
      </c>
      <c r="B324" s="41" t="s">
        <v>44</v>
      </c>
      <c r="C324" s="41" t="s">
        <v>11</v>
      </c>
      <c r="D324" s="41" t="s">
        <v>12</v>
      </c>
      <c r="E324" s="41">
        <v>91</v>
      </c>
      <c r="F324" s="42">
        <v>1</v>
      </c>
      <c r="G324" s="41" t="s">
        <v>315</v>
      </c>
      <c r="H324" s="41" t="s">
        <v>317</v>
      </c>
      <c r="I324" s="42">
        <v>240</v>
      </c>
      <c r="J324" s="192">
        <f>3.3+12-7.9-1.1</f>
        <v>6.3000000000000007</v>
      </c>
      <c r="K324" s="192">
        <v>6.2</v>
      </c>
    </row>
    <row r="325" spans="1:11" ht="15.75">
      <c r="A325" s="46" t="s">
        <v>117</v>
      </c>
      <c r="B325" s="41" t="s">
        <v>44</v>
      </c>
      <c r="C325" s="41" t="s">
        <v>11</v>
      </c>
      <c r="D325" s="41" t="s">
        <v>12</v>
      </c>
      <c r="E325" s="41">
        <v>91</v>
      </c>
      <c r="F325" s="42">
        <v>1</v>
      </c>
      <c r="G325" s="41" t="s">
        <v>315</v>
      </c>
      <c r="H325" s="41" t="s">
        <v>317</v>
      </c>
      <c r="I325" s="42">
        <v>850</v>
      </c>
      <c r="J325" s="192">
        <f>10-9-0.8</f>
        <v>0.19999999999999996</v>
      </c>
      <c r="K325" s="192">
        <v>0.2</v>
      </c>
    </row>
    <row r="326" spans="1:11" ht="15.75">
      <c r="A326" s="46" t="s">
        <v>21</v>
      </c>
      <c r="B326" s="41" t="s">
        <v>44</v>
      </c>
      <c r="C326" s="41" t="s">
        <v>11</v>
      </c>
      <c r="D326" s="41" t="s">
        <v>123</v>
      </c>
      <c r="E326" s="41"/>
      <c r="F326" s="41"/>
      <c r="G326" s="41"/>
      <c r="H326" s="41"/>
      <c r="I326" s="41"/>
      <c r="J326" s="192">
        <f>J327</f>
        <v>250</v>
      </c>
      <c r="K326" s="192">
        <f>K327</f>
        <v>217.7</v>
      </c>
    </row>
    <row r="327" spans="1:11" ht="15.75">
      <c r="A327" s="40" t="s">
        <v>47</v>
      </c>
      <c r="B327" s="41" t="s">
        <v>44</v>
      </c>
      <c r="C327" s="41" t="s">
        <v>11</v>
      </c>
      <c r="D327" s="42">
        <v>13</v>
      </c>
      <c r="E327" s="41" t="s">
        <v>104</v>
      </c>
      <c r="F327" s="42">
        <v>0</v>
      </c>
      <c r="G327" s="41" t="s">
        <v>315</v>
      </c>
      <c r="H327" s="41" t="s">
        <v>423</v>
      </c>
      <c r="I327" s="42"/>
      <c r="J327" s="192">
        <f>J328</f>
        <v>250</v>
      </c>
      <c r="K327" s="192">
        <f>K328</f>
        <v>217.7</v>
      </c>
    </row>
    <row r="328" spans="1:11" ht="31.5">
      <c r="A328" s="40" t="s">
        <v>48</v>
      </c>
      <c r="B328" s="41" t="s">
        <v>44</v>
      </c>
      <c r="C328" s="41" t="s">
        <v>11</v>
      </c>
      <c r="D328" s="42">
        <v>13</v>
      </c>
      <c r="E328" s="42">
        <v>91</v>
      </c>
      <c r="F328" s="42">
        <v>1</v>
      </c>
      <c r="G328" s="41" t="s">
        <v>315</v>
      </c>
      <c r="H328" s="41" t="s">
        <v>423</v>
      </c>
      <c r="I328" s="42"/>
      <c r="J328" s="192">
        <f>J329+J331</f>
        <v>250</v>
      </c>
      <c r="K328" s="192">
        <f>K329+K331</f>
        <v>217.7</v>
      </c>
    </row>
    <row r="329" spans="1:11" ht="47.25">
      <c r="A329" s="40" t="s">
        <v>138</v>
      </c>
      <c r="B329" s="41" t="s">
        <v>44</v>
      </c>
      <c r="C329" s="41" t="s">
        <v>11</v>
      </c>
      <c r="D329" s="42">
        <v>13</v>
      </c>
      <c r="E329" s="42">
        <v>91</v>
      </c>
      <c r="F329" s="42">
        <v>1</v>
      </c>
      <c r="G329" s="41" t="s">
        <v>315</v>
      </c>
      <c r="H329" s="41" t="s">
        <v>397</v>
      </c>
      <c r="I329" s="42"/>
      <c r="J329" s="192">
        <f>J330</f>
        <v>50</v>
      </c>
      <c r="K329" s="192">
        <f>K330</f>
        <v>35.299999999999997</v>
      </c>
    </row>
    <row r="330" spans="1:11" ht="31.5">
      <c r="A330" s="40" t="s">
        <v>137</v>
      </c>
      <c r="B330" s="41" t="s">
        <v>44</v>
      </c>
      <c r="C330" s="41" t="s">
        <v>11</v>
      </c>
      <c r="D330" s="42">
        <v>13</v>
      </c>
      <c r="E330" s="42">
        <v>91</v>
      </c>
      <c r="F330" s="42">
        <v>1</v>
      </c>
      <c r="G330" s="41" t="s">
        <v>315</v>
      </c>
      <c r="H330" s="41" t="s">
        <v>397</v>
      </c>
      <c r="I330" s="42">
        <v>240</v>
      </c>
      <c r="J330" s="192">
        <f>100-50</f>
        <v>50</v>
      </c>
      <c r="K330" s="192">
        <v>35.299999999999997</v>
      </c>
    </row>
    <row r="331" spans="1:11" ht="15.75">
      <c r="A331" s="46" t="s">
        <v>105</v>
      </c>
      <c r="B331" s="41" t="s">
        <v>44</v>
      </c>
      <c r="C331" s="41" t="s">
        <v>11</v>
      </c>
      <c r="D331" s="42">
        <v>13</v>
      </c>
      <c r="E331" s="41" t="s">
        <v>104</v>
      </c>
      <c r="F331" s="42">
        <v>1</v>
      </c>
      <c r="G331" s="41" t="s">
        <v>315</v>
      </c>
      <c r="H331" s="41" t="s">
        <v>345</v>
      </c>
      <c r="I331" s="42"/>
      <c r="J331" s="192">
        <f>J332</f>
        <v>200</v>
      </c>
      <c r="K331" s="192">
        <f>K332</f>
        <v>182.4</v>
      </c>
    </row>
    <row r="332" spans="1:11" ht="31.5">
      <c r="A332" s="46" t="s">
        <v>137</v>
      </c>
      <c r="B332" s="41" t="s">
        <v>44</v>
      </c>
      <c r="C332" s="41" t="s">
        <v>11</v>
      </c>
      <c r="D332" s="42">
        <v>13</v>
      </c>
      <c r="E332" s="41" t="s">
        <v>104</v>
      </c>
      <c r="F332" s="42">
        <v>1</v>
      </c>
      <c r="G332" s="41" t="s">
        <v>315</v>
      </c>
      <c r="H332" s="41" t="s">
        <v>345</v>
      </c>
      <c r="I332" s="42">
        <v>240</v>
      </c>
      <c r="J332" s="192">
        <f>300-100</f>
        <v>200</v>
      </c>
      <c r="K332" s="192">
        <v>182.4</v>
      </c>
    </row>
    <row r="333" spans="1:11" ht="15.75">
      <c r="A333" s="207" t="s">
        <v>146</v>
      </c>
      <c r="B333" s="208"/>
      <c r="C333" s="209"/>
      <c r="D333" s="208"/>
      <c r="E333" s="209"/>
      <c r="F333" s="208"/>
      <c r="G333" s="209"/>
      <c r="H333" s="210"/>
      <c r="I333" s="210"/>
      <c r="J333" s="211">
        <f>J10+J316</f>
        <v>121959.3</v>
      </c>
      <c r="K333" s="211">
        <f>K10+K316</f>
        <v>91294.8</v>
      </c>
    </row>
    <row r="334" spans="1:11">
      <c r="A334" s="178"/>
      <c r="C334" s="12"/>
      <c r="G334" s="12"/>
      <c r="I334" s="12" t="s">
        <v>11</v>
      </c>
      <c r="J334" s="21">
        <f>J11+J317</f>
        <v>14957.300000000001</v>
      </c>
      <c r="K334" s="21">
        <f>K11+K317</f>
        <v>12874.5</v>
      </c>
    </row>
    <row r="335" spans="1:11">
      <c r="A335" s="178"/>
      <c r="C335" s="12"/>
      <c r="G335" s="12"/>
      <c r="I335" s="12" t="s">
        <v>13</v>
      </c>
      <c r="J335" s="21">
        <f>J109</f>
        <v>399.1</v>
      </c>
      <c r="K335" s="21">
        <f>K109</f>
        <v>399.1</v>
      </c>
    </row>
    <row r="336" spans="1:11">
      <c r="A336" s="178"/>
      <c r="C336" s="12"/>
      <c r="G336" s="12"/>
      <c r="I336" s="12" t="s">
        <v>12</v>
      </c>
      <c r="J336" s="21">
        <f>J115</f>
        <v>273.60000000000002</v>
      </c>
      <c r="K336" s="21">
        <f>K115</f>
        <v>142.6</v>
      </c>
    </row>
    <row r="337" spans="1:11">
      <c r="A337" s="178"/>
      <c r="C337" s="12"/>
      <c r="G337" s="12"/>
      <c r="I337" s="12" t="s">
        <v>15</v>
      </c>
      <c r="J337" s="21">
        <f>J141</f>
        <v>14121.000000000002</v>
      </c>
      <c r="K337" s="21">
        <f>K141</f>
        <v>12962.5</v>
      </c>
    </row>
    <row r="338" spans="1:11">
      <c r="A338" s="178"/>
      <c r="C338" s="12"/>
      <c r="G338" s="12"/>
      <c r="I338" s="12" t="s">
        <v>16</v>
      </c>
      <c r="J338" s="21">
        <f>J166</f>
        <v>73424.100000000006</v>
      </c>
      <c r="K338" s="21">
        <f>K166</f>
        <v>47813.8</v>
      </c>
    </row>
    <row r="339" spans="1:11">
      <c r="A339" s="178"/>
      <c r="C339" s="12"/>
      <c r="G339" s="12"/>
      <c r="I339" s="12" t="s">
        <v>18</v>
      </c>
      <c r="J339" s="21">
        <f>J236</f>
        <v>194.6</v>
      </c>
      <c r="K339" s="21">
        <f>K236</f>
        <v>159.5</v>
      </c>
    </row>
    <row r="340" spans="1:11">
      <c r="A340" s="178"/>
      <c r="C340" s="12"/>
      <c r="G340" s="12"/>
      <c r="I340" s="12" t="s">
        <v>19</v>
      </c>
      <c r="J340" s="21">
        <f>J248</f>
        <v>14626.899999999998</v>
      </c>
      <c r="K340" s="21">
        <f>K248</f>
        <v>13357</v>
      </c>
    </row>
    <row r="341" spans="1:11">
      <c r="A341" s="178"/>
      <c r="C341" s="12"/>
      <c r="G341" s="12"/>
      <c r="I341" s="12" t="s">
        <v>36</v>
      </c>
      <c r="J341" s="21">
        <f>J290</f>
        <v>577.70000000000005</v>
      </c>
      <c r="K341" s="21">
        <f>K290</f>
        <v>575.4</v>
      </c>
    </row>
    <row r="342" spans="1:11">
      <c r="A342" s="178"/>
      <c r="C342" s="12"/>
      <c r="G342" s="12"/>
      <c r="I342" s="12" t="s">
        <v>37</v>
      </c>
      <c r="J342" s="21">
        <f>J300</f>
        <v>3135</v>
      </c>
      <c r="K342" s="21">
        <f>K300</f>
        <v>2823.3</v>
      </c>
    </row>
    <row r="343" spans="1:11">
      <c r="A343" s="178"/>
      <c r="C343" s="12"/>
      <c r="G343" s="12"/>
      <c r="I343" s="12" t="s">
        <v>43</v>
      </c>
      <c r="J343" s="21">
        <f>J310</f>
        <v>250</v>
      </c>
      <c r="K343" s="21">
        <f>K310</f>
        <v>187.1</v>
      </c>
    </row>
    <row r="344" spans="1:11">
      <c r="A344" s="178"/>
      <c r="C344" s="12"/>
      <c r="G344" s="12"/>
      <c r="I344" s="12" t="s">
        <v>45</v>
      </c>
      <c r="J344" s="21">
        <v>0</v>
      </c>
      <c r="K344" s="21">
        <v>0</v>
      </c>
    </row>
    <row r="345" spans="1:11">
      <c r="A345" s="178"/>
      <c r="C345" s="12"/>
      <c r="G345" s="12"/>
      <c r="I345" s="11" t="s">
        <v>551</v>
      </c>
      <c r="J345" s="21">
        <f>SUM(J334:J344)</f>
        <v>121959.3</v>
      </c>
      <c r="K345" s="21">
        <f>SUM(K334:K344)</f>
        <v>91294.8</v>
      </c>
    </row>
    <row r="346" spans="1:11">
      <c r="A346" s="178"/>
      <c r="C346" s="12"/>
      <c r="G346" s="12"/>
      <c r="I346" s="11" t="s">
        <v>552</v>
      </c>
      <c r="J346" s="21">
        <f>'Приложение 2'!C10</f>
        <v>96745.900000000009</v>
      </c>
      <c r="K346" s="21">
        <f>'Приложение 2'!D10</f>
        <v>98024.3</v>
      </c>
    </row>
    <row r="347" spans="1:11">
      <c r="A347" s="178"/>
      <c r="C347" s="12"/>
      <c r="G347" s="12"/>
      <c r="J347" s="21">
        <f>J346-J345</f>
        <v>-25213.399999999994</v>
      </c>
      <c r="K347" s="21">
        <f>K346-K345</f>
        <v>6729.5</v>
      </c>
    </row>
    <row r="348" spans="1:11">
      <c r="A348" s="178"/>
      <c r="C348" s="12"/>
      <c r="G348" s="12"/>
      <c r="I348" s="11" t="s">
        <v>553</v>
      </c>
      <c r="J348" s="21">
        <f>J16+J57+J68+J88+J92+J96+J117+J133+J138+J143+J163+J168+J185+J214+J220+J228+J238+J242+J250+J261+J269+J282+J302+J312</f>
        <v>108617.5</v>
      </c>
      <c r="K348" s="21">
        <f>K16+K57+K68+K88+K92+K96+K117+K133+K138+K143+K163+K168+K185+K214+K220+K228+K238+K242+K250+K261+K269+K282+K302+K312</f>
        <v>79009.300000000017</v>
      </c>
    </row>
  </sheetData>
  <mergeCells count="2">
    <mergeCell ref="E9:H9"/>
    <mergeCell ref="A7:K7"/>
  </mergeCells>
  <phoneticPr fontId="2" type="noConversion"/>
  <pageMargins left="0.59055118110236227" right="0.27559055118110237" top="0.55118110236220474" bottom="0.31496062992125984" header="0.27559055118110237" footer="0.15748031496062992"/>
  <pageSetup paperSize="9" scale="74" fitToHeight="11" orientation="portrait" verticalDpi="300" r:id="rId1"/>
  <headerFooter alignWithMargins="0"/>
  <rowBreaks count="6" manualBreakCount="6">
    <brk id="28" max="11" man="1"/>
    <brk id="56" max="11" man="1"/>
    <brk id="95" max="11" man="1"/>
    <brk id="119" max="11" man="1"/>
    <brk id="148" max="11" man="1"/>
    <brk id="199" max="11"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J127"/>
  <sheetViews>
    <sheetView view="pageBreakPreview" zoomScaleNormal="100" zoomScaleSheetLayoutView="100" workbookViewId="0">
      <selection activeCell="I9" sqref="I9:J9"/>
    </sheetView>
  </sheetViews>
  <sheetFormatPr defaultRowHeight="12.75"/>
  <cols>
    <col min="1" max="1" width="69" style="173" customWidth="1"/>
    <col min="2" max="2" width="5.28515625" style="2" customWidth="1"/>
    <col min="3" max="3" width="4.7109375" style="2" customWidth="1"/>
    <col min="4" max="4" width="4.28515625" style="15" customWidth="1"/>
    <col min="5" max="5" width="7" style="2" bestFit="1" customWidth="1"/>
    <col min="6" max="6" width="5" style="2" customWidth="1"/>
    <col min="7" max="8" width="4.85546875" style="2" customWidth="1"/>
    <col min="9" max="9" width="15.85546875" style="1" bestFit="1" customWidth="1"/>
    <col min="10" max="10" width="13.28515625" style="1" customWidth="1"/>
    <col min="11" max="16384" width="9.140625" style="1"/>
  </cols>
  <sheetData>
    <row r="1" spans="1:10" ht="15.75">
      <c r="J1" s="245" t="s">
        <v>243</v>
      </c>
    </row>
    <row r="2" spans="1:10" ht="15.75">
      <c r="J2" s="245" t="s">
        <v>242</v>
      </c>
    </row>
    <row r="3" spans="1:10" ht="15.75">
      <c r="J3" s="245" t="s">
        <v>565</v>
      </c>
    </row>
    <row r="4" spans="1:10" ht="15.75">
      <c r="J4" s="245" t="s">
        <v>566</v>
      </c>
    </row>
    <row r="5" spans="1:10" ht="15.75">
      <c r="J5" s="245" t="str">
        <f>'Приложение 1'!D5</f>
        <v>от "___" _____________ 2019 года</v>
      </c>
    </row>
    <row r="6" spans="1:10" ht="14.25" customHeight="1"/>
    <row r="7" spans="1:10" ht="111.75" customHeight="1">
      <c r="A7" s="257" t="s">
        <v>560</v>
      </c>
      <c r="B7" s="257"/>
      <c r="C7" s="257"/>
      <c r="D7" s="257"/>
      <c r="E7" s="257"/>
      <c r="F7" s="257"/>
      <c r="G7" s="257"/>
      <c r="H7" s="257"/>
      <c r="I7" s="257"/>
      <c r="J7" s="257"/>
    </row>
    <row r="8" spans="1:10" ht="18.75" customHeight="1">
      <c r="A8" s="174"/>
      <c r="B8" s="16"/>
      <c r="C8" s="16"/>
      <c r="D8" s="17"/>
      <c r="E8" s="16"/>
      <c r="F8" s="16"/>
      <c r="G8" s="16"/>
      <c r="H8" s="16"/>
      <c r="I8" s="10"/>
      <c r="J8" s="145" t="s">
        <v>141</v>
      </c>
    </row>
    <row r="9" spans="1:10" ht="225.75" customHeight="1">
      <c r="A9" s="175" t="s">
        <v>4</v>
      </c>
      <c r="B9" s="258" t="s">
        <v>6</v>
      </c>
      <c r="C9" s="258"/>
      <c r="D9" s="258"/>
      <c r="E9" s="258"/>
      <c r="F9" s="118" t="s">
        <v>472</v>
      </c>
      <c r="G9" s="118" t="s">
        <v>271</v>
      </c>
      <c r="H9" s="118" t="s">
        <v>272</v>
      </c>
      <c r="I9" s="118" t="s">
        <v>511</v>
      </c>
      <c r="J9" s="118" t="s">
        <v>247</v>
      </c>
    </row>
    <row r="10" spans="1:10" ht="47.25">
      <c r="A10" s="156" t="s">
        <v>57</v>
      </c>
      <c r="B10" s="157" t="s">
        <v>11</v>
      </c>
      <c r="C10" s="158" t="s">
        <v>128</v>
      </c>
      <c r="D10" s="157" t="s">
        <v>315</v>
      </c>
      <c r="E10" s="157" t="s">
        <v>423</v>
      </c>
      <c r="F10" s="159" t="s">
        <v>144</v>
      </c>
      <c r="G10" s="160" t="s">
        <v>144</v>
      </c>
      <c r="H10" s="160" t="s">
        <v>144</v>
      </c>
      <c r="I10" s="228">
        <f>I11+I15</f>
        <v>3782.2999999999997</v>
      </c>
      <c r="J10" s="161">
        <f>J11+J15</f>
        <v>2590.1</v>
      </c>
    </row>
    <row r="11" spans="1:10" ht="15.75">
      <c r="A11" s="162" t="s">
        <v>96</v>
      </c>
      <c r="B11" s="163" t="s">
        <v>11</v>
      </c>
      <c r="C11" s="164" t="s">
        <v>126</v>
      </c>
      <c r="D11" s="163" t="s">
        <v>315</v>
      </c>
      <c r="E11" s="163" t="s">
        <v>423</v>
      </c>
      <c r="F11" s="165" t="s">
        <v>144</v>
      </c>
      <c r="G11" s="166" t="s">
        <v>144</v>
      </c>
      <c r="H11" s="166" t="s">
        <v>144</v>
      </c>
      <c r="I11" s="229">
        <f>SUM(I12:I14)</f>
        <v>3429.1</v>
      </c>
      <c r="J11" s="167">
        <f>SUM(J12:J14)</f>
        <v>2264.6999999999998</v>
      </c>
    </row>
    <row r="12" spans="1:10" ht="15.75">
      <c r="A12" s="162" t="s">
        <v>56</v>
      </c>
      <c r="B12" s="163" t="s">
        <v>11</v>
      </c>
      <c r="C12" s="164" t="s">
        <v>126</v>
      </c>
      <c r="D12" s="163" t="s">
        <v>315</v>
      </c>
      <c r="E12" s="163">
        <v>29060</v>
      </c>
      <c r="F12" s="165">
        <v>240</v>
      </c>
      <c r="G12" s="166">
        <v>1</v>
      </c>
      <c r="H12" s="166">
        <v>13</v>
      </c>
      <c r="I12" s="229">
        <f>'Приложение 6'!J60</f>
        <v>3121.2</v>
      </c>
      <c r="J12" s="229">
        <f>'Приложение 6'!K60</f>
        <v>2042.5</v>
      </c>
    </row>
    <row r="13" spans="1:10" ht="15.75">
      <c r="A13" s="162" t="s">
        <v>335</v>
      </c>
      <c r="B13" s="163" t="s">
        <v>11</v>
      </c>
      <c r="C13" s="164" t="s">
        <v>126</v>
      </c>
      <c r="D13" s="163" t="s">
        <v>315</v>
      </c>
      <c r="E13" s="163">
        <v>29270</v>
      </c>
      <c r="F13" s="165">
        <v>240</v>
      </c>
      <c r="G13" s="166">
        <v>1</v>
      </c>
      <c r="H13" s="166">
        <v>13</v>
      </c>
      <c r="I13" s="229">
        <f>'Приложение 6'!J62</f>
        <v>257.3</v>
      </c>
      <c r="J13" s="229">
        <f>'Приложение 6'!K62</f>
        <v>198.7</v>
      </c>
    </row>
    <row r="14" spans="1:10" ht="15.75">
      <c r="A14" s="162" t="s">
        <v>424</v>
      </c>
      <c r="B14" s="163" t="s">
        <v>11</v>
      </c>
      <c r="C14" s="164" t="s">
        <v>126</v>
      </c>
      <c r="D14" s="163" t="s">
        <v>315</v>
      </c>
      <c r="E14" s="163">
        <v>29290</v>
      </c>
      <c r="F14" s="165">
        <v>240</v>
      </c>
      <c r="G14" s="166">
        <v>1</v>
      </c>
      <c r="H14" s="166">
        <v>13</v>
      </c>
      <c r="I14" s="229">
        <f>'Приложение 6'!J64</f>
        <v>50.600000000000023</v>
      </c>
      <c r="J14" s="229">
        <f>'Приложение 6'!K64</f>
        <v>23.5</v>
      </c>
    </row>
    <row r="15" spans="1:10" ht="31.5">
      <c r="A15" s="162" t="s">
        <v>113</v>
      </c>
      <c r="B15" s="163" t="s">
        <v>11</v>
      </c>
      <c r="C15" s="164">
        <v>2</v>
      </c>
      <c r="D15" s="163" t="s">
        <v>315</v>
      </c>
      <c r="E15" s="163" t="s">
        <v>423</v>
      </c>
      <c r="F15" s="165"/>
      <c r="G15" s="166"/>
      <c r="H15" s="166"/>
      <c r="I15" s="229">
        <f>I16</f>
        <v>353.2</v>
      </c>
      <c r="J15" s="167">
        <f>J16</f>
        <v>325.39999999999998</v>
      </c>
    </row>
    <row r="16" spans="1:10" ht="31.5">
      <c r="A16" s="162" t="s">
        <v>110</v>
      </c>
      <c r="B16" s="163" t="s">
        <v>11</v>
      </c>
      <c r="C16" s="164">
        <v>2</v>
      </c>
      <c r="D16" s="163" t="s">
        <v>315</v>
      </c>
      <c r="E16" s="163">
        <v>29070</v>
      </c>
      <c r="F16" s="165">
        <v>240</v>
      </c>
      <c r="G16" s="166">
        <v>1</v>
      </c>
      <c r="H16" s="166">
        <v>13</v>
      </c>
      <c r="I16" s="229">
        <f>'Приложение 6'!J67</f>
        <v>353.2</v>
      </c>
      <c r="J16" s="229">
        <f>'Приложение 6'!K67</f>
        <v>325.39999999999998</v>
      </c>
    </row>
    <row r="17" spans="1:10" ht="94.5">
      <c r="A17" s="162" t="s">
        <v>432</v>
      </c>
      <c r="B17" s="163" t="s">
        <v>13</v>
      </c>
      <c r="C17" s="164" t="s">
        <v>128</v>
      </c>
      <c r="D17" s="163" t="s">
        <v>315</v>
      </c>
      <c r="E17" s="163" t="s">
        <v>423</v>
      </c>
      <c r="F17" s="165" t="s">
        <v>144</v>
      </c>
      <c r="G17" s="166" t="s">
        <v>144</v>
      </c>
      <c r="H17" s="166" t="s">
        <v>144</v>
      </c>
      <c r="I17" s="229">
        <f>I18+I21+I24</f>
        <v>233.4</v>
      </c>
      <c r="J17" s="229">
        <f>J18+J21+J24</f>
        <v>107.4</v>
      </c>
    </row>
    <row r="18" spans="1:10" ht="31.5">
      <c r="A18" s="162" t="s">
        <v>453</v>
      </c>
      <c r="B18" s="163" t="s">
        <v>13</v>
      </c>
      <c r="C18" s="164" t="s">
        <v>126</v>
      </c>
      <c r="D18" s="163" t="s">
        <v>315</v>
      </c>
      <c r="E18" s="163" t="s">
        <v>423</v>
      </c>
      <c r="F18" s="165" t="s">
        <v>144</v>
      </c>
      <c r="G18" s="166" t="s">
        <v>144</v>
      </c>
      <c r="H18" s="166" t="s">
        <v>144</v>
      </c>
      <c r="I18" s="229">
        <f>SUM(I19:I20)</f>
        <v>75.599999999999994</v>
      </c>
      <c r="J18" s="229">
        <f>SUM(J19:J20)</f>
        <v>75.5</v>
      </c>
    </row>
    <row r="19" spans="1:10" ht="47.25">
      <c r="A19" s="162" t="s">
        <v>348</v>
      </c>
      <c r="B19" s="163" t="s">
        <v>13</v>
      </c>
      <c r="C19" s="164">
        <v>1</v>
      </c>
      <c r="D19" s="163" t="s">
        <v>315</v>
      </c>
      <c r="E19" s="163">
        <v>29560</v>
      </c>
      <c r="F19" s="165">
        <v>240</v>
      </c>
      <c r="G19" s="166">
        <v>3</v>
      </c>
      <c r="H19" s="166">
        <v>9</v>
      </c>
      <c r="I19" s="229">
        <f>'Приложение 6'!J120</f>
        <v>3.5</v>
      </c>
      <c r="J19" s="229">
        <f>'Приложение 6'!K120</f>
        <v>3.5</v>
      </c>
    </row>
    <row r="20" spans="1:10" ht="15.75">
      <c r="A20" s="162" t="s">
        <v>525</v>
      </c>
      <c r="B20" s="163" t="s">
        <v>13</v>
      </c>
      <c r="C20" s="164">
        <v>1</v>
      </c>
      <c r="D20" s="163" t="s">
        <v>315</v>
      </c>
      <c r="E20" s="163">
        <v>29580</v>
      </c>
      <c r="F20" s="165">
        <v>240</v>
      </c>
      <c r="G20" s="166">
        <v>3</v>
      </c>
      <c r="H20" s="166">
        <v>9</v>
      </c>
      <c r="I20" s="229">
        <f>'Приложение 6'!J122</f>
        <v>72.099999999999994</v>
      </c>
      <c r="J20" s="229">
        <f>'Приложение 6'!K122</f>
        <v>72</v>
      </c>
    </row>
    <row r="21" spans="1:10" ht="63">
      <c r="A21" s="162" t="s">
        <v>405</v>
      </c>
      <c r="B21" s="163" t="s">
        <v>13</v>
      </c>
      <c r="C21" s="164">
        <v>3</v>
      </c>
      <c r="D21" s="163" t="s">
        <v>315</v>
      </c>
      <c r="E21" s="163" t="s">
        <v>423</v>
      </c>
      <c r="F21" s="165"/>
      <c r="G21" s="166"/>
      <c r="H21" s="166"/>
      <c r="I21" s="229">
        <f>SUM(I22:I23)</f>
        <v>38.4</v>
      </c>
      <c r="J21" s="229">
        <f>SUM(J22:J23)</f>
        <v>9</v>
      </c>
    </row>
    <row r="22" spans="1:10" ht="31.5">
      <c r="A22" s="162" t="s">
        <v>433</v>
      </c>
      <c r="B22" s="163" t="s">
        <v>13</v>
      </c>
      <c r="C22" s="164">
        <v>3</v>
      </c>
      <c r="D22" s="163" t="s">
        <v>315</v>
      </c>
      <c r="E22" s="163">
        <v>29520</v>
      </c>
      <c r="F22" s="165">
        <v>240</v>
      </c>
      <c r="G22" s="166">
        <v>3</v>
      </c>
      <c r="H22" s="166">
        <v>9</v>
      </c>
      <c r="I22" s="229">
        <f>'Приложение 6'!J125</f>
        <v>29.4</v>
      </c>
      <c r="J22" s="229">
        <f>'Приложение 6'!K125</f>
        <v>0</v>
      </c>
    </row>
    <row r="23" spans="1:10" ht="31.5">
      <c r="A23" s="162" t="s">
        <v>351</v>
      </c>
      <c r="B23" s="163" t="s">
        <v>13</v>
      </c>
      <c r="C23" s="164">
        <v>3</v>
      </c>
      <c r="D23" s="163" t="s">
        <v>315</v>
      </c>
      <c r="E23" s="163">
        <v>29540</v>
      </c>
      <c r="F23" s="165">
        <v>240</v>
      </c>
      <c r="G23" s="166">
        <v>3</v>
      </c>
      <c r="H23" s="166">
        <v>9</v>
      </c>
      <c r="I23" s="229">
        <f>'Приложение 6'!J127</f>
        <v>9</v>
      </c>
      <c r="J23" s="229">
        <f>'Приложение 6'!K127</f>
        <v>9</v>
      </c>
    </row>
    <row r="24" spans="1:10" ht="31.5">
      <c r="A24" s="162" t="s">
        <v>406</v>
      </c>
      <c r="B24" s="163" t="s">
        <v>13</v>
      </c>
      <c r="C24" s="164">
        <v>4</v>
      </c>
      <c r="D24" s="163" t="s">
        <v>315</v>
      </c>
      <c r="E24" s="163" t="s">
        <v>423</v>
      </c>
      <c r="F24" s="165"/>
      <c r="G24" s="166"/>
      <c r="H24" s="166"/>
      <c r="I24" s="229">
        <f>SUM(I25:I25)</f>
        <v>119.4</v>
      </c>
      <c r="J24" s="229">
        <f>SUM(J25:J25)</f>
        <v>22.9</v>
      </c>
    </row>
    <row r="25" spans="1:10" ht="15.75">
      <c r="A25" s="162" t="s">
        <v>353</v>
      </c>
      <c r="B25" s="163" t="s">
        <v>13</v>
      </c>
      <c r="C25" s="164">
        <v>4</v>
      </c>
      <c r="D25" s="163" t="s">
        <v>315</v>
      </c>
      <c r="E25" s="163">
        <v>29530</v>
      </c>
      <c r="F25" s="165">
        <v>240</v>
      </c>
      <c r="G25" s="166">
        <v>3</v>
      </c>
      <c r="H25" s="166">
        <v>10</v>
      </c>
      <c r="I25" s="229">
        <f>'Приложение 6'!J136</f>
        <v>119.4</v>
      </c>
      <c r="J25" s="229">
        <f>'Приложение 6'!K136</f>
        <v>22.9</v>
      </c>
    </row>
    <row r="26" spans="1:10" ht="31.5">
      <c r="A26" s="162" t="s">
        <v>441</v>
      </c>
      <c r="B26" s="163" t="s">
        <v>12</v>
      </c>
      <c r="C26" s="164" t="s">
        <v>128</v>
      </c>
      <c r="D26" s="163" t="s">
        <v>315</v>
      </c>
      <c r="E26" s="163" t="s">
        <v>423</v>
      </c>
      <c r="F26" s="165" t="s">
        <v>144</v>
      </c>
      <c r="G26" s="166" t="s">
        <v>144</v>
      </c>
      <c r="H26" s="166" t="s">
        <v>144</v>
      </c>
      <c r="I26" s="229">
        <f>I27+I34+I38+I49</f>
        <v>71237.399999999994</v>
      </c>
      <c r="J26" s="229">
        <f>J27+J34+J38+J49</f>
        <v>57952.1</v>
      </c>
    </row>
    <row r="27" spans="1:10" ht="63">
      <c r="A27" s="162" t="s">
        <v>454</v>
      </c>
      <c r="B27" s="163" t="s">
        <v>12</v>
      </c>
      <c r="C27" s="164" t="s">
        <v>126</v>
      </c>
      <c r="D27" s="163" t="s">
        <v>315</v>
      </c>
      <c r="E27" s="163" t="s">
        <v>423</v>
      </c>
      <c r="F27" s="165" t="s">
        <v>144</v>
      </c>
      <c r="G27" s="166" t="s">
        <v>144</v>
      </c>
      <c r="H27" s="166" t="s">
        <v>144</v>
      </c>
      <c r="I27" s="229">
        <f>SUM(I28:I33)</f>
        <v>14036.900000000001</v>
      </c>
      <c r="J27" s="229">
        <f>SUM(J28:J33)</f>
        <v>12878.399999999998</v>
      </c>
    </row>
    <row r="28" spans="1:10" ht="15.75">
      <c r="A28" s="162" t="s">
        <v>62</v>
      </c>
      <c r="B28" s="163" t="s">
        <v>12</v>
      </c>
      <c r="C28" s="164">
        <v>1</v>
      </c>
      <c r="D28" s="163" t="s">
        <v>315</v>
      </c>
      <c r="E28" s="163">
        <v>29100</v>
      </c>
      <c r="F28" s="165">
        <v>240</v>
      </c>
      <c r="G28" s="166">
        <v>4</v>
      </c>
      <c r="H28" s="166">
        <v>9</v>
      </c>
      <c r="I28" s="229">
        <f>'Приложение 6'!J146</f>
        <v>4923.6000000000013</v>
      </c>
      <c r="J28" s="229">
        <f>'Приложение 6'!K146</f>
        <v>4601.2</v>
      </c>
    </row>
    <row r="29" spans="1:10" ht="15.75">
      <c r="A29" s="162" t="s">
        <v>63</v>
      </c>
      <c r="B29" s="163" t="s">
        <v>12</v>
      </c>
      <c r="C29" s="164">
        <v>1</v>
      </c>
      <c r="D29" s="163" t="s">
        <v>315</v>
      </c>
      <c r="E29" s="163">
        <v>29110</v>
      </c>
      <c r="F29" s="165">
        <v>240</v>
      </c>
      <c r="G29" s="166">
        <v>4</v>
      </c>
      <c r="H29" s="166">
        <v>9</v>
      </c>
      <c r="I29" s="229">
        <f>'Приложение 6'!J148</f>
        <v>633.20000000000005</v>
      </c>
      <c r="J29" s="229">
        <f>'Приложение 6'!K148</f>
        <v>633.20000000000005</v>
      </c>
    </row>
    <row r="30" spans="1:10" ht="15.75">
      <c r="A30" s="162" t="s">
        <v>64</v>
      </c>
      <c r="B30" s="163" t="s">
        <v>12</v>
      </c>
      <c r="C30" s="164">
        <v>1</v>
      </c>
      <c r="D30" s="163" t="s">
        <v>315</v>
      </c>
      <c r="E30" s="163">
        <v>29120</v>
      </c>
      <c r="F30" s="165">
        <v>240</v>
      </c>
      <c r="G30" s="166">
        <v>4</v>
      </c>
      <c r="H30" s="166">
        <v>9</v>
      </c>
      <c r="I30" s="229">
        <f>'Приложение 6'!J150</f>
        <v>388.79999999999995</v>
      </c>
      <c r="J30" s="229">
        <f>'Приложение 6'!K150</f>
        <v>388.8</v>
      </c>
    </row>
    <row r="31" spans="1:10" ht="31.5">
      <c r="A31" s="162" t="s">
        <v>103</v>
      </c>
      <c r="B31" s="163" t="s">
        <v>12</v>
      </c>
      <c r="C31" s="164">
        <v>1</v>
      </c>
      <c r="D31" s="163" t="s">
        <v>315</v>
      </c>
      <c r="E31" s="163">
        <v>29130</v>
      </c>
      <c r="F31" s="165">
        <v>240</v>
      </c>
      <c r="G31" s="166">
        <v>4</v>
      </c>
      <c r="H31" s="166">
        <v>9</v>
      </c>
      <c r="I31" s="229">
        <f>'Приложение 6'!J152</f>
        <v>9</v>
      </c>
      <c r="J31" s="229">
        <f>'Приложение 6'!K152</f>
        <v>9</v>
      </c>
    </row>
    <row r="32" spans="1:10" ht="15.75">
      <c r="A32" s="162" t="s">
        <v>136</v>
      </c>
      <c r="B32" s="163" t="s">
        <v>12</v>
      </c>
      <c r="C32" s="164">
        <v>1</v>
      </c>
      <c r="D32" s="163" t="s">
        <v>315</v>
      </c>
      <c r="E32" s="163">
        <v>29330</v>
      </c>
      <c r="F32" s="165">
        <v>240</v>
      </c>
      <c r="G32" s="166">
        <v>4</v>
      </c>
      <c r="H32" s="166">
        <v>9</v>
      </c>
      <c r="I32" s="229">
        <f>'Приложение 6'!J154</f>
        <v>6600</v>
      </c>
      <c r="J32" s="229">
        <f>'Приложение 6'!K154</f>
        <v>5763.9</v>
      </c>
    </row>
    <row r="33" spans="1:10" ht="15.75">
      <c r="A33" s="162" t="s">
        <v>93</v>
      </c>
      <c r="B33" s="163" t="s">
        <v>12</v>
      </c>
      <c r="C33" s="164">
        <v>1</v>
      </c>
      <c r="D33" s="163" t="s">
        <v>315</v>
      </c>
      <c r="E33" s="163">
        <v>29590</v>
      </c>
      <c r="F33" s="165">
        <v>240</v>
      </c>
      <c r="G33" s="166">
        <v>4</v>
      </c>
      <c r="H33" s="166">
        <v>9</v>
      </c>
      <c r="I33" s="229">
        <f>'Приложение 6'!J156</f>
        <v>1482.3000000000002</v>
      </c>
      <c r="J33" s="229">
        <f>'Приложение 6'!K156</f>
        <v>1482.3</v>
      </c>
    </row>
    <row r="34" spans="1:10" ht="31.5">
      <c r="A34" s="162" t="s">
        <v>97</v>
      </c>
      <c r="B34" s="163" t="s">
        <v>12</v>
      </c>
      <c r="C34" s="164">
        <v>2</v>
      </c>
      <c r="D34" s="163" t="s">
        <v>315</v>
      </c>
      <c r="E34" s="163" t="s">
        <v>423</v>
      </c>
      <c r="F34" s="165"/>
      <c r="G34" s="166"/>
      <c r="H34" s="166"/>
      <c r="I34" s="229">
        <f>SUM(I35:I37)</f>
        <v>11782.4</v>
      </c>
      <c r="J34" s="229">
        <f>SUM(J35:J37)</f>
        <v>7423.4</v>
      </c>
    </row>
    <row r="35" spans="1:10" ht="15.75">
      <c r="A35" s="168" t="s">
        <v>535</v>
      </c>
      <c r="B35" s="163" t="s">
        <v>12</v>
      </c>
      <c r="C35" s="164">
        <v>2</v>
      </c>
      <c r="D35" s="163" t="s">
        <v>315</v>
      </c>
      <c r="E35" s="163" t="s">
        <v>536</v>
      </c>
      <c r="F35" s="165">
        <v>240</v>
      </c>
      <c r="G35" s="166">
        <v>5</v>
      </c>
      <c r="H35" s="166">
        <v>3</v>
      </c>
      <c r="I35" s="229">
        <f>'Приложение 6'!J188</f>
        <v>50</v>
      </c>
      <c r="J35" s="229">
        <f>'Приложение 6'!K188</f>
        <v>45</v>
      </c>
    </row>
    <row r="36" spans="1:10" ht="15.75">
      <c r="A36" s="162" t="s">
        <v>68</v>
      </c>
      <c r="B36" s="163" t="s">
        <v>12</v>
      </c>
      <c r="C36" s="163" t="s">
        <v>330</v>
      </c>
      <c r="D36" s="163" t="s">
        <v>315</v>
      </c>
      <c r="E36" s="163" t="s">
        <v>368</v>
      </c>
      <c r="F36" s="163" t="s">
        <v>127</v>
      </c>
      <c r="G36" s="163" t="s">
        <v>16</v>
      </c>
      <c r="H36" s="163" t="s">
        <v>12</v>
      </c>
      <c r="I36" s="229">
        <f>'Приложение 6'!J190</f>
        <v>8632.4</v>
      </c>
      <c r="J36" s="229">
        <f>'Приложение 6'!K190</f>
        <v>4278.3999999999996</v>
      </c>
    </row>
    <row r="37" spans="1:10" ht="15.75">
      <c r="A37" s="162" t="s">
        <v>71</v>
      </c>
      <c r="B37" s="163" t="s">
        <v>12</v>
      </c>
      <c r="C37" s="163" t="s">
        <v>330</v>
      </c>
      <c r="D37" s="163" t="s">
        <v>315</v>
      </c>
      <c r="E37" s="163" t="s">
        <v>369</v>
      </c>
      <c r="F37" s="163" t="s">
        <v>127</v>
      </c>
      <c r="G37" s="163" t="s">
        <v>16</v>
      </c>
      <c r="H37" s="163" t="s">
        <v>12</v>
      </c>
      <c r="I37" s="229">
        <f>'Приложение 6'!J192</f>
        <v>3100</v>
      </c>
      <c r="J37" s="229">
        <f>'Приложение 6'!K192</f>
        <v>3100</v>
      </c>
    </row>
    <row r="38" spans="1:10" ht="47.25">
      <c r="A38" s="162" t="s">
        <v>98</v>
      </c>
      <c r="B38" s="163" t="s">
        <v>12</v>
      </c>
      <c r="C38" s="164">
        <v>3</v>
      </c>
      <c r="D38" s="163" t="s">
        <v>315</v>
      </c>
      <c r="E38" s="163" t="s">
        <v>423</v>
      </c>
      <c r="F38" s="165"/>
      <c r="G38" s="166"/>
      <c r="H38" s="166"/>
      <c r="I38" s="229">
        <f>SUM(I39:I48)</f>
        <v>24355.7</v>
      </c>
      <c r="J38" s="229">
        <f>SUM(J39:J48)</f>
        <v>20431.300000000003</v>
      </c>
    </row>
    <row r="39" spans="1:10" ht="15.75">
      <c r="A39" s="162" t="s">
        <v>64</v>
      </c>
      <c r="B39" s="163" t="s">
        <v>12</v>
      </c>
      <c r="C39" s="163" t="s">
        <v>130</v>
      </c>
      <c r="D39" s="163" t="s">
        <v>315</v>
      </c>
      <c r="E39" s="163" t="s">
        <v>359</v>
      </c>
      <c r="F39" s="163" t="s">
        <v>127</v>
      </c>
      <c r="G39" s="163" t="s">
        <v>16</v>
      </c>
      <c r="H39" s="163" t="s">
        <v>12</v>
      </c>
      <c r="I39" s="229">
        <f>'Приложение 6'!J195</f>
        <v>569</v>
      </c>
      <c r="J39" s="229">
        <f>'Приложение 6'!K195</f>
        <v>436.3</v>
      </c>
    </row>
    <row r="40" spans="1:10" ht="15.75">
      <c r="A40" s="162" t="s">
        <v>70</v>
      </c>
      <c r="B40" s="163" t="s">
        <v>12</v>
      </c>
      <c r="C40" s="163" t="s">
        <v>130</v>
      </c>
      <c r="D40" s="163" t="s">
        <v>315</v>
      </c>
      <c r="E40" s="163" t="s">
        <v>370</v>
      </c>
      <c r="F40" s="163" t="s">
        <v>127</v>
      </c>
      <c r="G40" s="163" t="s">
        <v>16</v>
      </c>
      <c r="H40" s="163" t="s">
        <v>12</v>
      </c>
      <c r="I40" s="229">
        <f>'Приложение 6'!J197</f>
        <v>779.1</v>
      </c>
      <c r="J40" s="229">
        <f>'Приложение 6'!K197</f>
        <v>779</v>
      </c>
    </row>
    <row r="41" spans="1:10" ht="15.75">
      <c r="A41" s="162" t="s">
        <v>72</v>
      </c>
      <c r="B41" s="163" t="s">
        <v>12</v>
      </c>
      <c r="C41" s="163" t="s">
        <v>130</v>
      </c>
      <c r="D41" s="163" t="s">
        <v>315</v>
      </c>
      <c r="E41" s="163" t="s">
        <v>455</v>
      </c>
      <c r="F41" s="163" t="s">
        <v>127</v>
      </c>
      <c r="G41" s="163" t="s">
        <v>16</v>
      </c>
      <c r="H41" s="163" t="s">
        <v>12</v>
      </c>
      <c r="I41" s="229">
        <f>'Приложение 6'!J199</f>
        <v>530</v>
      </c>
      <c r="J41" s="229">
        <f>'Приложение 6'!K199</f>
        <v>520.6</v>
      </c>
    </row>
    <row r="42" spans="1:10" ht="15.75">
      <c r="A42" s="162" t="s">
        <v>74</v>
      </c>
      <c r="B42" s="163" t="s">
        <v>12</v>
      </c>
      <c r="C42" s="163" t="s">
        <v>130</v>
      </c>
      <c r="D42" s="163" t="s">
        <v>315</v>
      </c>
      <c r="E42" s="163" t="s">
        <v>371</v>
      </c>
      <c r="F42" s="163" t="s">
        <v>127</v>
      </c>
      <c r="G42" s="163" t="s">
        <v>16</v>
      </c>
      <c r="H42" s="163" t="s">
        <v>12</v>
      </c>
      <c r="I42" s="229">
        <f>'Приложение 6'!J201</f>
        <v>14354</v>
      </c>
      <c r="J42" s="229">
        <f>'Приложение 6'!K201</f>
        <v>10642.2</v>
      </c>
    </row>
    <row r="43" spans="1:10" ht="15.75">
      <c r="A43" s="162" t="s">
        <v>73</v>
      </c>
      <c r="B43" s="163" t="s">
        <v>12</v>
      </c>
      <c r="C43" s="163" t="s">
        <v>130</v>
      </c>
      <c r="D43" s="163" t="s">
        <v>315</v>
      </c>
      <c r="E43" s="163" t="s">
        <v>456</v>
      </c>
      <c r="F43" s="163" t="s">
        <v>127</v>
      </c>
      <c r="G43" s="163" t="s">
        <v>16</v>
      </c>
      <c r="H43" s="163" t="s">
        <v>12</v>
      </c>
      <c r="I43" s="229">
        <f>'Приложение 6'!J203</f>
        <v>100</v>
      </c>
      <c r="J43" s="229">
        <f>'Приложение 6'!K203</f>
        <v>91.8</v>
      </c>
    </row>
    <row r="44" spans="1:10" ht="15.75">
      <c r="A44" s="177" t="s">
        <v>537</v>
      </c>
      <c r="B44" s="163" t="s">
        <v>12</v>
      </c>
      <c r="C44" s="163" t="s">
        <v>130</v>
      </c>
      <c r="D44" s="163" t="s">
        <v>315</v>
      </c>
      <c r="E44" s="163" t="s">
        <v>533</v>
      </c>
      <c r="F44" s="163" t="s">
        <v>127</v>
      </c>
      <c r="G44" s="163" t="s">
        <v>16</v>
      </c>
      <c r="H44" s="163" t="s">
        <v>12</v>
      </c>
      <c r="I44" s="229">
        <f>'Приложение 6'!J205</f>
        <v>15</v>
      </c>
      <c r="J44" s="229">
        <f>'Приложение 6'!K205</f>
        <v>6.2</v>
      </c>
    </row>
    <row r="45" spans="1:10" ht="15.75">
      <c r="A45" s="162" t="s">
        <v>372</v>
      </c>
      <c r="B45" s="163" t="s">
        <v>12</v>
      </c>
      <c r="C45" s="163" t="s">
        <v>130</v>
      </c>
      <c r="D45" s="163" t="s">
        <v>315</v>
      </c>
      <c r="E45" s="163" t="s">
        <v>373</v>
      </c>
      <c r="F45" s="163" t="s">
        <v>127</v>
      </c>
      <c r="G45" s="163" t="s">
        <v>16</v>
      </c>
      <c r="H45" s="163" t="s">
        <v>12</v>
      </c>
      <c r="I45" s="229">
        <f>'Приложение 6'!J207</f>
        <v>5700</v>
      </c>
      <c r="J45" s="229">
        <f>'Приложение 6'!K207</f>
        <v>5646.8</v>
      </c>
    </row>
    <row r="46" spans="1:10" ht="31.5">
      <c r="A46" s="162" t="s">
        <v>94</v>
      </c>
      <c r="B46" s="163" t="s">
        <v>12</v>
      </c>
      <c r="C46" s="163" t="s">
        <v>130</v>
      </c>
      <c r="D46" s="163" t="s">
        <v>315</v>
      </c>
      <c r="E46" s="163" t="s">
        <v>374</v>
      </c>
      <c r="F46" s="163" t="s">
        <v>127</v>
      </c>
      <c r="G46" s="163" t="s">
        <v>16</v>
      </c>
      <c r="H46" s="163" t="s">
        <v>12</v>
      </c>
      <c r="I46" s="229">
        <f>'Приложение 6'!J209</f>
        <v>692.7</v>
      </c>
      <c r="J46" s="229">
        <f>'Приложение 6'!K209</f>
        <v>692.7</v>
      </c>
    </row>
    <row r="47" spans="1:10" ht="31.5">
      <c r="A47" s="162" t="s">
        <v>447</v>
      </c>
      <c r="B47" s="163" t="s">
        <v>12</v>
      </c>
      <c r="C47" s="163" t="s">
        <v>130</v>
      </c>
      <c r="D47" s="163" t="s">
        <v>315</v>
      </c>
      <c r="E47" s="163" t="s">
        <v>448</v>
      </c>
      <c r="F47" s="163" t="s">
        <v>127</v>
      </c>
      <c r="G47" s="163" t="s">
        <v>16</v>
      </c>
      <c r="H47" s="163" t="s">
        <v>12</v>
      </c>
      <c r="I47" s="229">
        <f>'Приложение 6'!J211</f>
        <v>551.90000000000009</v>
      </c>
      <c r="J47" s="229">
        <f>'Приложение 6'!K211</f>
        <v>551.79999999999995</v>
      </c>
    </row>
    <row r="48" spans="1:10" ht="15.75">
      <c r="A48" s="162" t="s">
        <v>107</v>
      </c>
      <c r="B48" s="163" t="s">
        <v>12</v>
      </c>
      <c r="C48" s="163" t="s">
        <v>130</v>
      </c>
      <c r="D48" s="163" t="s">
        <v>315</v>
      </c>
      <c r="E48" s="163" t="s">
        <v>375</v>
      </c>
      <c r="F48" s="163" t="s">
        <v>127</v>
      </c>
      <c r="G48" s="163" t="s">
        <v>16</v>
      </c>
      <c r="H48" s="163" t="s">
        <v>12</v>
      </c>
      <c r="I48" s="229">
        <f>'Приложение 6'!J213</f>
        <v>1064.0000000000002</v>
      </c>
      <c r="J48" s="229">
        <f>'Приложение 6'!K213</f>
        <v>1063.9000000000001</v>
      </c>
    </row>
    <row r="49" spans="1:10" ht="15.75">
      <c r="A49" s="162" t="s">
        <v>457</v>
      </c>
      <c r="B49" s="163" t="s">
        <v>12</v>
      </c>
      <c r="C49" s="164">
        <v>4</v>
      </c>
      <c r="D49" s="163" t="s">
        <v>315</v>
      </c>
      <c r="E49" s="163" t="s">
        <v>423</v>
      </c>
      <c r="F49" s="165"/>
      <c r="G49" s="166"/>
      <c r="H49" s="166"/>
      <c r="I49" s="229">
        <f>SUM(I50:I53)</f>
        <v>21062.400000000001</v>
      </c>
      <c r="J49" s="229">
        <f>SUM(J50:J53)</f>
        <v>17219</v>
      </c>
    </row>
    <row r="50" spans="1:10" ht="31.5">
      <c r="A50" s="162" t="s">
        <v>76</v>
      </c>
      <c r="B50" s="163" t="s">
        <v>12</v>
      </c>
      <c r="C50" s="163" t="s">
        <v>407</v>
      </c>
      <c r="D50" s="163" t="s">
        <v>315</v>
      </c>
      <c r="E50" s="163" t="s">
        <v>377</v>
      </c>
      <c r="F50" s="163" t="s">
        <v>458</v>
      </c>
      <c r="G50" s="163" t="s">
        <v>16</v>
      </c>
      <c r="H50" s="163" t="s">
        <v>16</v>
      </c>
      <c r="I50" s="229">
        <f>'Приложение 6'!J223</f>
        <v>15575.8</v>
      </c>
      <c r="J50" s="229">
        <f>'Приложение 6'!K223</f>
        <v>12990</v>
      </c>
    </row>
    <row r="51" spans="1:10" ht="31.5">
      <c r="A51" s="162" t="s">
        <v>76</v>
      </c>
      <c r="B51" s="163" t="s">
        <v>12</v>
      </c>
      <c r="C51" s="163" t="s">
        <v>407</v>
      </c>
      <c r="D51" s="163" t="s">
        <v>315</v>
      </c>
      <c r="E51" s="163" t="s">
        <v>377</v>
      </c>
      <c r="F51" s="163" t="s">
        <v>127</v>
      </c>
      <c r="G51" s="163" t="s">
        <v>16</v>
      </c>
      <c r="H51" s="163" t="s">
        <v>16</v>
      </c>
      <c r="I51" s="229">
        <f>'Приложение 6'!J224</f>
        <v>4639.6000000000004</v>
      </c>
      <c r="J51" s="229">
        <f>'Приложение 6'!K224</f>
        <v>3382.8</v>
      </c>
    </row>
    <row r="52" spans="1:10" ht="31.5">
      <c r="A52" s="162" t="s">
        <v>76</v>
      </c>
      <c r="B52" s="163" t="s">
        <v>12</v>
      </c>
      <c r="C52" s="163" t="s">
        <v>407</v>
      </c>
      <c r="D52" s="163" t="s">
        <v>315</v>
      </c>
      <c r="E52" s="163" t="s">
        <v>377</v>
      </c>
      <c r="F52" s="163" t="s">
        <v>431</v>
      </c>
      <c r="G52" s="163" t="s">
        <v>16</v>
      </c>
      <c r="H52" s="163" t="s">
        <v>16</v>
      </c>
      <c r="I52" s="229">
        <f>'Приложение 6'!J225</f>
        <v>47</v>
      </c>
      <c r="J52" s="229">
        <f>'Приложение 6'!K225</f>
        <v>46.2</v>
      </c>
    </row>
    <row r="53" spans="1:10" ht="110.25">
      <c r="A53" s="168" t="s">
        <v>541</v>
      </c>
      <c r="B53" s="163" t="s">
        <v>12</v>
      </c>
      <c r="C53" s="163" t="s">
        <v>407</v>
      </c>
      <c r="D53" s="163" t="s">
        <v>315</v>
      </c>
      <c r="E53" s="163" t="s">
        <v>514</v>
      </c>
      <c r="F53" s="163" t="s">
        <v>458</v>
      </c>
      <c r="G53" s="163" t="s">
        <v>16</v>
      </c>
      <c r="H53" s="163" t="s">
        <v>16</v>
      </c>
      <c r="I53" s="229">
        <f>'Приложение 6'!J227</f>
        <v>800</v>
      </c>
      <c r="J53" s="229">
        <f>'Приложение 6'!K227</f>
        <v>800</v>
      </c>
    </row>
    <row r="54" spans="1:10" ht="31.5">
      <c r="A54" s="162" t="s">
        <v>111</v>
      </c>
      <c r="B54" s="163" t="s">
        <v>15</v>
      </c>
      <c r="C54" s="164" t="s">
        <v>128</v>
      </c>
      <c r="D54" s="163" t="s">
        <v>315</v>
      </c>
      <c r="E54" s="163" t="s">
        <v>423</v>
      </c>
      <c r="F54" s="165" t="s">
        <v>144</v>
      </c>
      <c r="G54" s="166" t="s">
        <v>144</v>
      </c>
      <c r="H54" s="166" t="s">
        <v>144</v>
      </c>
      <c r="I54" s="229">
        <f>SUM(I55:I55)</f>
        <v>37</v>
      </c>
      <c r="J54" s="229">
        <f>SUM(J55:J55)</f>
        <v>37</v>
      </c>
    </row>
    <row r="55" spans="1:10" ht="15.75">
      <c r="A55" s="162" t="s">
        <v>114</v>
      </c>
      <c r="B55" s="163" t="s">
        <v>15</v>
      </c>
      <c r="C55" s="164">
        <v>0</v>
      </c>
      <c r="D55" s="163" t="s">
        <v>315</v>
      </c>
      <c r="E55" s="163">
        <v>29910</v>
      </c>
      <c r="F55" s="165">
        <v>810</v>
      </c>
      <c r="G55" s="166">
        <v>4</v>
      </c>
      <c r="H55" s="166">
        <v>12</v>
      </c>
      <c r="I55" s="229">
        <f>'Приложение 6'!J165</f>
        <v>37</v>
      </c>
      <c r="J55" s="229">
        <f>'Приложение 6'!K165</f>
        <v>37</v>
      </c>
    </row>
    <row r="56" spans="1:10" ht="47.25">
      <c r="A56" s="162" t="s">
        <v>445</v>
      </c>
      <c r="B56" s="163" t="s">
        <v>16</v>
      </c>
      <c r="C56" s="164" t="s">
        <v>128</v>
      </c>
      <c r="D56" s="163" t="s">
        <v>315</v>
      </c>
      <c r="E56" s="163" t="s">
        <v>423</v>
      </c>
      <c r="F56" s="165" t="s">
        <v>144</v>
      </c>
      <c r="G56" s="166" t="s">
        <v>144</v>
      </c>
      <c r="H56" s="166" t="s">
        <v>144</v>
      </c>
      <c r="I56" s="229">
        <f>I57+I59</f>
        <v>13061.900000000001</v>
      </c>
      <c r="J56" s="229">
        <f>J57+J59</f>
        <v>74.8</v>
      </c>
    </row>
    <row r="57" spans="1:10" ht="31.5">
      <c r="A57" s="162" t="s">
        <v>99</v>
      </c>
      <c r="B57" s="163" t="s">
        <v>16</v>
      </c>
      <c r="C57" s="164" t="s">
        <v>126</v>
      </c>
      <c r="D57" s="163" t="s">
        <v>315</v>
      </c>
      <c r="E57" s="163" t="s">
        <v>423</v>
      </c>
      <c r="F57" s="165" t="s">
        <v>144</v>
      </c>
      <c r="G57" s="166" t="s">
        <v>144</v>
      </c>
      <c r="H57" s="166" t="s">
        <v>144</v>
      </c>
      <c r="I57" s="229">
        <f>I58</f>
        <v>142</v>
      </c>
      <c r="J57" s="229">
        <f>J58</f>
        <v>74.8</v>
      </c>
    </row>
    <row r="58" spans="1:10" ht="15.75">
      <c r="A58" s="162" t="s">
        <v>139</v>
      </c>
      <c r="B58" s="163" t="s">
        <v>16</v>
      </c>
      <c r="C58" s="164">
        <v>1</v>
      </c>
      <c r="D58" s="163" t="s">
        <v>315</v>
      </c>
      <c r="E58" s="163">
        <v>29420</v>
      </c>
      <c r="F58" s="165">
        <v>240</v>
      </c>
      <c r="G58" s="166">
        <v>5</v>
      </c>
      <c r="H58" s="166">
        <v>1</v>
      </c>
      <c r="I58" s="229">
        <f>'Приложение 6'!J171</f>
        <v>142</v>
      </c>
      <c r="J58" s="229">
        <f>'Приложение 6'!K171</f>
        <v>74.8</v>
      </c>
    </row>
    <row r="59" spans="1:10" ht="47.25">
      <c r="A59" s="162" t="s">
        <v>408</v>
      </c>
      <c r="B59" s="163" t="s">
        <v>16</v>
      </c>
      <c r="C59" s="164">
        <v>6</v>
      </c>
      <c r="D59" s="163" t="s">
        <v>315</v>
      </c>
      <c r="E59" s="163" t="s">
        <v>423</v>
      </c>
      <c r="F59" s="165"/>
      <c r="G59" s="166"/>
      <c r="H59" s="166"/>
      <c r="I59" s="229">
        <f>I60</f>
        <v>12919.900000000001</v>
      </c>
      <c r="J59" s="229">
        <f>J60</f>
        <v>0</v>
      </c>
    </row>
    <row r="60" spans="1:10" ht="15.75">
      <c r="A60" s="162" t="s">
        <v>134</v>
      </c>
      <c r="B60" s="163" t="s">
        <v>16</v>
      </c>
      <c r="C60" s="164">
        <v>6</v>
      </c>
      <c r="D60" s="163" t="s">
        <v>315</v>
      </c>
      <c r="E60" s="163">
        <v>29800</v>
      </c>
      <c r="F60" s="165">
        <v>410</v>
      </c>
      <c r="G60" s="166">
        <v>5</v>
      </c>
      <c r="H60" s="166">
        <v>1</v>
      </c>
      <c r="I60" s="229">
        <f>'Приложение 6'!J174</f>
        <v>12919.900000000001</v>
      </c>
      <c r="J60" s="229">
        <f>'Приложение 6'!K174</f>
        <v>0</v>
      </c>
    </row>
    <row r="61" spans="1:10" ht="47.25">
      <c r="A61" s="162" t="s">
        <v>449</v>
      </c>
      <c r="B61" s="163" t="s">
        <v>66</v>
      </c>
      <c r="C61" s="164" t="s">
        <v>128</v>
      </c>
      <c r="D61" s="163" t="s">
        <v>315</v>
      </c>
      <c r="E61" s="163" t="s">
        <v>423</v>
      </c>
      <c r="F61" s="165" t="s">
        <v>144</v>
      </c>
      <c r="G61" s="166" t="s">
        <v>144</v>
      </c>
      <c r="H61" s="166" t="s">
        <v>144</v>
      </c>
      <c r="I61" s="229">
        <f>I62+I65+I69+I73+I77</f>
        <v>16137.199999999999</v>
      </c>
      <c r="J61" s="229">
        <f>J62+J65+J69+J73+J77</f>
        <v>15139.4</v>
      </c>
    </row>
    <row r="62" spans="1:10" ht="15.75">
      <c r="A62" s="162" t="s">
        <v>100</v>
      </c>
      <c r="B62" s="163" t="s">
        <v>66</v>
      </c>
      <c r="C62" s="164" t="s">
        <v>126</v>
      </c>
      <c r="D62" s="163" t="s">
        <v>315</v>
      </c>
      <c r="E62" s="163" t="s">
        <v>423</v>
      </c>
      <c r="F62" s="165" t="s">
        <v>144</v>
      </c>
      <c r="G62" s="166" t="s">
        <v>144</v>
      </c>
      <c r="H62" s="166" t="s">
        <v>144</v>
      </c>
      <c r="I62" s="229">
        <f>SUM(I63:I64)</f>
        <v>163.1</v>
      </c>
      <c r="J62" s="229">
        <f>SUM(J63:J64)</f>
        <v>128</v>
      </c>
    </row>
    <row r="63" spans="1:10" ht="31.5">
      <c r="A63" s="162" t="s">
        <v>76</v>
      </c>
      <c r="B63" s="163" t="s">
        <v>66</v>
      </c>
      <c r="C63" s="164">
        <v>1</v>
      </c>
      <c r="D63" s="163" t="s">
        <v>315</v>
      </c>
      <c r="E63" s="163">
        <v>29240</v>
      </c>
      <c r="F63" s="165">
        <v>110</v>
      </c>
      <c r="G63" s="166">
        <v>7</v>
      </c>
      <c r="H63" s="166">
        <v>7</v>
      </c>
      <c r="I63" s="229">
        <f>'Приложение 6'!J245</f>
        <v>98.1</v>
      </c>
      <c r="J63" s="229">
        <f>'Приложение 6'!K245</f>
        <v>98</v>
      </c>
    </row>
    <row r="64" spans="1:10" ht="15.75">
      <c r="A64" s="162" t="s">
        <v>78</v>
      </c>
      <c r="B64" s="163" t="s">
        <v>66</v>
      </c>
      <c r="C64" s="164">
        <v>1</v>
      </c>
      <c r="D64" s="163" t="s">
        <v>315</v>
      </c>
      <c r="E64" s="163">
        <v>29260</v>
      </c>
      <c r="F64" s="165">
        <v>244</v>
      </c>
      <c r="G64" s="166">
        <v>7</v>
      </c>
      <c r="H64" s="166">
        <v>7</v>
      </c>
      <c r="I64" s="229">
        <f>'Приложение 6'!J247</f>
        <v>65</v>
      </c>
      <c r="J64" s="229">
        <f>'Приложение 6'!K247</f>
        <v>30</v>
      </c>
    </row>
    <row r="65" spans="1:10" ht="15.75">
      <c r="A65" s="162" t="s">
        <v>459</v>
      </c>
      <c r="B65" s="163" t="s">
        <v>66</v>
      </c>
      <c r="C65" s="164">
        <v>2</v>
      </c>
      <c r="D65" s="163" t="s">
        <v>315</v>
      </c>
      <c r="E65" s="163" t="s">
        <v>423</v>
      </c>
      <c r="F65" s="165" t="s">
        <v>144</v>
      </c>
      <c r="G65" s="166" t="s">
        <v>144</v>
      </c>
      <c r="H65" s="166" t="s">
        <v>144</v>
      </c>
      <c r="I65" s="229">
        <f>SUM(I66:I68)</f>
        <v>2878.9</v>
      </c>
      <c r="J65" s="229">
        <f>SUM(J66:J68)</f>
        <v>2482.6</v>
      </c>
    </row>
    <row r="66" spans="1:10" ht="31.5">
      <c r="A66" s="162" t="s">
        <v>76</v>
      </c>
      <c r="B66" s="163" t="s">
        <v>66</v>
      </c>
      <c r="C66" s="164">
        <v>2</v>
      </c>
      <c r="D66" s="163" t="s">
        <v>315</v>
      </c>
      <c r="E66" s="163" t="s">
        <v>377</v>
      </c>
      <c r="F66" s="165">
        <v>110</v>
      </c>
      <c r="G66" s="166">
        <v>8</v>
      </c>
      <c r="H66" s="166">
        <v>1</v>
      </c>
      <c r="I66" s="229">
        <f>'Приложение 6'!J253</f>
        <v>1867.3</v>
      </c>
      <c r="J66" s="229">
        <f>'Приложение 6'!K253</f>
        <v>1584.5</v>
      </c>
    </row>
    <row r="67" spans="1:10" ht="31.5">
      <c r="A67" s="162" t="s">
        <v>76</v>
      </c>
      <c r="B67" s="163" t="s">
        <v>66</v>
      </c>
      <c r="C67" s="164">
        <v>2</v>
      </c>
      <c r="D67" s="163" t="s">
        <v>315</v>
      </c>
      <c r="E67" s="163" t="s">
        <v>377</v>
      </c>
      <c r="F67" s="165">
        <v>240</v>
      </c>
      <c r="G67" s="166">
        <v>8</v>
      </c>
      <c r="H67" s="166">
        <v>1</v>
      </c>
      <c r="I67" s="229">
        <f>'Приложение 6'!J254</f>
        <v>991.6</v>
      </c>
      <c r="J67" s="229">
        <f>'Приложение 6'!K254</f>
        <v>898</v>
      </c>
    </row>
    <row r="68" spans="1:10" ht="31.5">
      <c r="A68" s="162" t="s">
        <v>76</v>
      </c>
      <c r="B68" s="163" t="s">
        <v>66</v>
      </c>
      <c r="C68" s="164">
        <v>2</v>
      </c>
      <c r="D68" s="163" t="s">
        <v>315</v>
      </c>
      <c r="E68" s="163" t="s">
        <v>377</v>
      </c>
      <c r="F68" s="165">
        <v>850</v>
      </c>
      <c r="G68" s="166">
        <v>8</v>
      </c>
      <c r="H68" s="166">
        <v>1</v>
      </c>
      <c r="I68" s="229">
        <f>'Приложение 6'!J255</f>
        <v>20</v>
      </c>
      <c r="J68" s="229">
        <f>'Приложение 6'!K255</f>
        <v>0.1</v>
      </c>
    </row>
    <row r="69" spans="1:10" ht="15.75">
      <c r="A69" s="162" t="s">
        <v>101</v>
      </c>
      <c r="B69" s="163" t="s">
        <v>66</v>
      </c>
      <c r="C69" s="164">
        <v>3</v>
      </c>
      <c r="D69" s="163" t="s">
        <v>315</v>
      </c>
      <c r="E69" s="163" t="s">
        <v>423</v>
      </c>
      <c r="F69" s="165" t="s">
        <v>144</v>
      </c>
      <c r="G69" s="166" t="s">
        <v>144</v>
      </c>
      <c r="H69" s="166" t="s">
        <v>144</v>
      </c>
      <c r="I69" s="229">
        <f>SUM(I70:I72)</f>
        <v>709.6</v>
      </c>
      <c r="J69" s="229">
        <f>SUM(J70:J72)</f>
        <v>706</v>
      </c>
    </row>
    <row r="70" spans="1:10" ht="15.75">
      <c r="A70" s="162" t="s">
        <v>549</v>
      </c>
      <c r="B70" s="163" t="s">
        <v>66</v>
      </c>
      <c r="C70" s="164">
        <v>3</v>
      </c>
      <c r="D70" s="163" t="s">
        <v>315</v>
      </c>
      <c r="E70" s="163">
        <v>29020</v>
      </c>
      <c r="F70" s="165">
        <v>350</v>
      </c>
      <c r="G70" s="166">
        <v>8</v>
      </c>
      <c r="H70" s="166">
        <v>4</v>
      </c>
      <c r="I70" s="229">
        <f>'Приложение 6'!J285</f>
        <v>100.1</v>
      </c>
      <c r="J70" s="229">
        <f>'Приложение 6'!K285</f>
        <v>100</v>
      </c>
    </row>
    <row r="71" spans="1:10" ht="15.75">
      <c r="A71" s="162" t="s">
        <v>84</v>
      </c>
      <c r="B71" s="163" t="s">
        <v>66</v>
      </c>
      <c r="C71" s="164">
        <v>3</v>
      </c>
      <c r="D71" s="163" t="s">
        <v>315</v>
      </c>
      <c r="E71" s="163">
        <v>29250</v>
      </c>
      <c r="F71" s="165">
        <v>240</v>
      </c>
      <c r="G71" s="166">
        <v>8</v>
      </c>
      <c r="H71" s="166">
        <v>4</v>
      </c>
      <c r="I71" s="229">
        <f>'Приложение 6'!J287</f>
        <v>311.5</v>
      </c>
      <c r="J71" s="229">
        <f>'Приложение 6'!K287</f>
        <v>311.39999999999998</v>
      </c>
    </row>
    <row r="72" spans="1:10" ht="15.75">
      <c r="A72" s="162" t="s">
        <v>78</v>
      </c>
      <c r="B72" s="163" t="s">
        <v>66</v>
      </c>
      <c r="C72" s="164">
        <v>3</v>
      </c>
      <c r="D72" s="163" t="s">
        <v>315</v>
      </c>
      <c r="E72" s="163">
        <v>29260</v>
      </c>
      <c r="F72" s="165">
        <v>240</v>
      </c>
      <c r="G72" s="166">
        <v>8</v>
      </c>
      <c r="H72" s="166">
        <v>4</v>
      </c>
      <c r="I72" s="229">
        <f>'Приложение 6'!J289</f>
        <v>298</v>
      </c>
      <c r="J72" s="229">
        <f>'Приложение 6'!K289</f>
        <v>294.60000000000002</v>
      </c>
    </row>
    <row r="73" spans="1:10" ht="47.25">
      <c r="A73" s="162" t="s">
        <v>102</v>
      </c>
      <c r="B73" s="163" t="s">
        <v>66</v>
      </c>
      <c r="C73" s="164">
        <v>4</v>
      </c>
      <c r="D73" s="163" t="s">
        <v>315</v>
      </c>
      <c r="E73" s="163" t="s">
        <v>423</v>
      </c>
      <c r="F73" s="165" t="s">
        <v>144</v>
      </c>
      <c r="G73" s="166" t="s">
        <v>144</v>
      </c>
      <c r="H73" s="166" t="s">
        <v>144</v>
      </c>
      <c r="I73" s="229">
        <f>SUM(I74:I76)</f>
        <v>3135</v>
      </c>
      <c r="J73" s="229">
        <f>SUM(J74:J76)</f>
        <v>2823.3</v>
      </c>
    </row>
    <row r="74" spans="1:10" ht="15.75">
      <c r="A74" s="162" t="s">
        <v>90</v>
      </c>
      <c r="B74" s="163" t="s">
        <v>66</v>
      </c>
      <c r="C74" s="164">
        <v>4</v>
      </c>
      <c r="D74" s="163" t="s">
        <v>315</v>
      </c>
      <c r="E74" s="163">
        <v>29230</v>
      </c>
      <c r="F74" s="165">
        <v>240</v>
      </c>
      <c r="G74" s="166">
        <v>11</v>
      </c>
      <c r="H74" s="166">
        <v>5</v>
      </c>
      <c r="I74" s="229">
        <f>'Приложение 6'!J305</f>
        <v>275</v>
      </c>
      <c r="J74" s="229">
        <f>'Приложение 6'!K305</f>
        <v>275</v>
      </c>
    </row>
    <row r="75" spans="1:10" ht="15.75">
      <c r="A75" s="162" t="s">
        <v>74</v>
      </c>
      <c r="B75" s="163" t="s">
        <v>66</v>
      </c>
      <c r="C75" s="164">
        <v>4</v>
      </c>
      <c r="D75" s="163" t="s">
        <v>315</v>
      </c>
      <c r="E75" s="163">
        <v>29370</v>
      </c>
      <c r="F75" s="165">
        <v>240</v>
      </c>
      <c r="G75" s="166">
        <v>11</v>
      </c>
      <c r="H75" s="166">
        <v>5</v>
      </c>
      <c r="I75" s="229">
        <f>'Приложение 6'!J307</f>
        <v>1360</v>
      </c>
      <c r="J75" s="229">
        <f>'Приложение 6'!K307</f>
        <v>1048.3</v>
      </c>
    </row>
    <row r="76" spans="1:10" ht="15.75">
      <c r="A76" s="162" t="s">
        <v>91</v>
      </c>
      <c r="B76" s="163" t="s">
        <v>66</v>
      </c>
      <c r="C76" s="164">
        <v>4</v>
      </c>
      <c r="D76" s="163" t="s">
        <v>315</v>
      </c>
      <c r="E76" s="163">
        <v>29570</v>
      </c>
      <c r="F76" s="165">
        <v>240</v>
      </c>
      <c r="G76" s="166">
        <v>11</v>
      </c>
      <c r="H76" s="166">
        <v>5</v>
      </c>
      <c r="I76" s="229">
        <f>'Приложение 6'!J309</f>
        <v>1500</v>
      </c>
      <c r="J76" s="229">
        <f>'Приложение 6'!K309</f>
        <v>1500</v>
      </c>
    </row>
    <row r="77" spans="1:10" ht="15.75">
      <c r="A77" s="162" t="s">
        <v>460</v>
      </c>
      <c r="B77" s="163" t="s">
        <v>66</v>
      </c>
      <c r="C77" s="164">
        <v>5</v>
      </c>
      <c r="D77" s="163" t="s">
        <v>315</v>
      </c>
      <c r="E77" s="163" t="s">
        <v>423</v>
      </c>
      <c r="F77" s="165"/>
      <c r="G77" s="166"/>
      <c r="H77" s="166"/>
      <c r="I77" s="229">
        <f>SUM(I78:I79)</f>
        <v>9250.5999999999985</v>
      </c>
      <c r="J77" s="229">
        <f>SUM(J78:J79)</f>
        <v>8999.5</v>
      </c>
    </row>
    <row r="78" spans="1:10" ht="31.5">
      <c r="A78" s="162" t="s">
        <v>76</v>
      </c>
      <c r="B78" s="163" t="s">
        <v>66</v>
      </c>
      <c r="C78" s="164">
        <v>5</v>
      </c>
      <c r="D78" s="163" t="s">
        <v>315</v>
      </c>
      <c r="E78" s="163" t="s">
        <v>377</v>
      </c>
      <c r="F78" s="165">
        <v>620</v>
      </c>
      <c r="G78" s="166">
        <v>8</v>
      </c>
      <c r="H78" s="166">
        <v>1</v>
      </c>
      <c r="I78" s="229">
        <f>'Приложение 6'!J258</f>
        <v>9157.7999999999993</v>
      </c>
      <c r="J78" s="229">
        <f>'Приложение 6'!K258</f>
        <v>8906.7999999999993</v>
      </c>
    </row>
    <row r="79" spans="1:10" ht="78.75">
      <c r="A79" s="162" t="s">
        <v>546</v>
      </c>
      <c r="B79" s="163" t="s">
        <v>66</v>
      </c>
      <c r="C79" s="164">
        <v>5</v>
      </c>
      <c r="D79" s="163" t="s">
        <v>315</v>
      </c>
      <c r="E79" s="163" t="s">
        <v>547</v>
      </c>
      <c r="F79" s="165">
        <v>540</v>
      </c>
      <c r="G79" s="166">
        <v>8</v>
      </c>
      <c r="H79" s="166">
        <v>1</v>
      </c>
      <c r="I79" s="229">
        <f>'Приложение 6'!J260</f>
        <v>92.8</v>
      </c>
      <c r="J79" s="229">
        <f>'Приложение 6'!K260</f>
        <v>92.7</v>
      </c>
    </row>
    <row r="80" spans="1:10" ht="47.25">
      <c r="A80" s="162" t="s">
        <v>132</v>
      </c>
      <c r="B80" s="163" t="s">
        <v>18</v>
      </c>
      <c r="C80" s="164" t="s">
        <v>128</v>
      </c>
      <c r="D80" s="163" t="s">
        <v>315</v>
      </c>
      <c r="E80" s="163" t="s">
        <v>423</v>
      </c>
      <c r="F80" s="165" t="s">
        <v>144</v>
      </c>
      <c r="G80" s="166" t="s">
        <v>144</v>
      </c>
      <c r="H80" s="166" t="s">
        <v>144</v>
      </c>
      <c r="I80" s="229">
        <f>I81+I94+I99</f>
        <v>1382.5</v>
      </c>
      <c r="J80" s="229">
        <f>J81+J94+J99</f>
        <v>1154.4000000000001</v>
      </c>
    </row>
    <row r="81" spans="1:10" ht="47.25">
      <c r="A81" s="162" t="s">
        <v>409</v>
      </c>
      <c r="B81" s="163" t="s">
        <v>18</v>
      </c>
      <c r="C81" s="164" t="s">
        <v>126</v>
      </c>
      <c r="D81" s="163" t="s">
        <v>315</v>
      </c>
      <c r="E81" s="163" t="s">
        <v>423</v>
      </c>
      <c r="F81" s="165" t="s">
        <v>144</v>
      </c>
      <c r="G81" s="166" t="s">
        <v>144</v>
      </c>
      <c r="H81" s="166" t="s">
        <v>144</v>
      </c>
      <c r="I81" s="229">
        <f>I82+I84+I86+I88+I90+I92</f>
        <v>874.49999999999989</v>
      </c>
      <c r="J81" s="229">
        <f>J82+J84+J86+J88+J90+J92</f>
        <v>841.1</v>
      </c>
    </row>
    <row r="82" spans="1:10" ht="15.75">
      <c r="A82" s="162" t="s">
        <v>461</v>
      </c>
      <c r="B82" s="163" t="s">
        <v>18</v>
      </c>
      <c r="C82" s="164">
        <v>1</v>
      </c>
      <c r="D82" s="163" t="s">
        <v>11</v>
      </c>
      <c r="E82" s="163" t="s">
        <v>423</v>
      </c>
      <c r="F82" s="165"/>
      <c r="G82" s="166"/>
      <c r="H82" s="166"/>
      <c r="I82" s="229">
        <f>I83</f>
        <v>225</v>
      </c>
      <c r="J82" s="229">
        <f>J83</f>
        <v>212.2</v>
      </c>
    </row>
    <row r="83" spans="1:10" ht="47.25">
      <c r="A83" s="162" t="s">
        <v>125</v>
      </c>
      <c r="B83" s="163" t="s">
        <v>18</v>
      </c>
      <c r="C83" s="164">
        <v>1</v>
      </c>
      <c r="D83" s="163" t="s">
        <v>11</v>
      </c>
      <c r="E83" s="163" t="s">
        <v>339</v>
      </c>
      <c r="F83" s="165">
        <v>240</v>
      </c>
      <c r="G83" s="166">
        <v>1</v>
      </c>
      <c r="H83" s="166">
        <v>13</v>
      </c>
      <c r="I83" s="229">
        <f>'Приложение 6'!J72</f>
        <v>225</v>
      </c>
      <c r="J83" s="229">
        <f>'Приложение 6'!K72</f>
        <v>212.2</v>
      </c>
    </row>
    <row r="84" spans="1:10" ht="31.5">
      <c r="A84" s="162" t="s">
        <v>462</v>
      </c>
      <c r="B84" s="163" t="s">
        <v>18</v>
      </c>
      <c r="C84" s="164">
        <v>1</v>
      </c>
      <c r="D84" s="163" t="s">
        <v>13</v>
      </c>
      <c r="E84" s="163" t="s">
        <v>423</v>
      </c>
      <c r="F84" s="165"/>
      <c r="G84" s="166"/>
      <c r="H84" s="166"/>
      <c r="I84" s="229">
        <f>I85</f>
        <v>35</v>
      </c>
      <c r="J84" s="229">
        <f>J85</f>
        <v>35</v>
      </c>
    </row>
    <row r="85" spans="1:10" ht="47.25">
      <c r="A85" s="162" t="s">
        <v>125</v>
      </c>
      <c r="B85" s="163" t="s">
        <v>18</v>
      </c>
      <c r="C85" s="164">
        <v>1</v>
      </c>
      <c r="D85" s="163" t="s">
        <v>13</v>
      </c>
      <c r="E85" s="163" t="s">
        <v>339</v>
      </c>
      <c r="F85" s="165">
        <v>240</v>
      </c>
      <c r="G85" s="166">
        <v>1</v>
      </c>
      <c r="H85" s="166">
        <v>13</v>
      </c>
      <c r="I85" s="229">
        <f>'Приложение 6'!J75</f>
        <v>35</v>
      </c>
      <c r="J85" s="229">
        <f>'Приложение 6'!K75</f>
        <v>35</v>
      </c>
    </row>
    <row r="86" spans="1:10" ht="31.5">
      <c r="A86" s="162" t="s">
        <v>463</v>
      </c>
      <c r="B86" s="163" t="s">
        <v>18</v>
      </c>
      <c r="C86" s="164">
        <v>1</v>
      </c>
      <c r="D86" s="163" t="s">
        <v>12</v>
      </c>
      <c r="E86" s="163" t="s">
        <v>423</v>
      </c>
      <c r="F86" s="165"/>
      <c r="G86" s="166"/>
      <c r="H86" s="166"/>
      <c r="I86" s="229">
        <f>I87</f>
        <v>474.49999999999989</v>
      </c>
      <c r="J86" s="229">
        <f>J87</f>
        <v>474</v>
      </c>
    </row>
    <row r="87" spans="1:10" ht="47.25">
      <c r="A87" s="162" t="s">
        <v>125</v>
      </c>
      <c r="B87" s="163" t="s">
        <v>18</v>
      </c>
      <c r="C87" s="164">
        <v>1</v>
      </c>
      <c r="D87" s="163" t="s">
        <v>12</v>
      </c>
      <c r="E87" s="163" t="s">
        <v>339</v>
      </c>
      <c r="F87" s="165">
        <v>240</v>
      </c>
      <c r="G87" s="166">
        <v>1</v>
      </c>
      <c r="H87" s="166">
        <v>13</v>
      </c>
      <c r="I87" s="229">
        <f>'Приложение 6'!J78</f>
        <v>474.49999999999989</v>
      </c>
      <c r="J87" s="229">
        <f>'Приложение 6'!K78</f>
        <v>474</v>
      </c>
    </row>
    <row r="88" spans="1:10" ht="15.75">
      <c r="A88" s="162" t="s">
        <v>464</v>
      </c>
      <c r="B88" s="163" t="s">
        <v>18</v>
      </c>
      <c r="C88" s="164">
        <v>1</v>
      </c>
      <c r="D88" s="163" t="s">
        <v>15</v>
      </c>
      <c r="E88" s="163" t="s">
        <v>423</v>
      </c>
      <c r="F88" s="165"/>
      <c r="G88" s="166"/>
      <c r="H88" s="166"/>
      <c r="I88" s="229">
        <f>I89</f>
        <v>50</v>
      </c>
      <c r="J88" s="229">
        <f>J89</f>
        <v>46</v>
      </c>
    </row>
    <row r="89" spans="1:10" ht="47.25">
      <c r="A89" s="162" t="s">
        <v>125</v>
      </c>
      <c r="B89" s="163" t="s">
        <v>18</v>
      </c>
      <c r="C89" s="164">
        <v>1</v>
      </c>
      <c r="D89" s="163" t="s">
        <v>15</v>
      </c>
      <c r="E89" s="163" t="s">
        <v>339</v>
      </c>
      <c r="F89" s="165">
        <v>240</v>
      </c>
      <c r="G89" s="166">
        <v>1</v>
      </c>
      <c r="H89" s="166">
        <v>13</v>
      </c>
      <c r="I89" s="229">
        <f>'Приложение 6'!J81</f>
        <v>50</v>
      </c>
      <c r="J89" s="229">
        <f>'Приложение 6'!K81</f>
        <v>46</v>
      </c>
    </row>
    <row r="90" spans="1:10" ht="63">
      <c r="A90" s="162" t="s">
        <v>465</v>
      </c>
      <c r="B90" s="163" t="s">
        <v>18</v>
      </c>
      <c r="C90" s="164">
        <v>1</v>
      </c>
      <c r="D90" s="163" t="s">
        <v>16</v>
      </c>
      <c r="E90" s="163" t="s">
        <v>423</v>
      </c>
      <c r="F90" s="165"/>
      <c r="G90" s="166"/>
      <c r="H90" s="166"/>
      <c r="I90" s="229">
        <f>I91</f>
        <v>40</v>
      </c>
      <c r="J90" s="229">
        <f>J91</f>
        <v>32.9</v>
      </c>
    </row>
    <row r="91" spans="1:10" ht="47.25">
      <c r="A91" s="162" t="s">
        <v>125</v>
      </c>
      <c r="B91" s="163" t="s">
        <v>18</v>
      </c>
      <c r="C91" s="164">
        <v>1</v>
      </c>
      <c r="D91" s="163" t="s">
        <v>16</v>
      </c>
      <c r="E91" s="163" t="s">
        <v>339</v>
      </c>
      <c r="F91" s="165">
        <v>240</v>
      </c>
      <c r="G91" s="166">
        <v>1</v>
      </c>
      <c r="H91" s="166">
        <v>13</v>
      </c>
      <c r="I91" s="229">
        <f>'Приложение 6'!J84</f>
        <v>40</v>
      </c>
      <c r="J91" s="229">
        <f>'Приложение 6'!K84</f>
        <v>32.9</v>
      </c>
    </row>
    <row r="92" spans="1:10" ht="31.5">
      <c r="A92" s="162" t="s">
        <v>466</v>
      </c>
      <c r="B92" s="163" t="s">
        <v>18</v>
      </c>
      <c r="C92" s="164">
        <v>1</v>
      </c>
      <c r="D92" s="163" t="s">
        <v>66</v>
      </c>
      <c r="E92" s="163" t="s">
        <v>423</v>
      </c>
      <c r="F92" s="165"/>
      <c r="G92" s="166"/>
      <c r="H92" s="166"/>
      <c r="I92" s="229">
        <f>I93</f>
        <v>50</v>
      </c>
      <c r="J92" s="229">
        <f>J93</f>
        <v>41</v>
      </c>
    </row>
    <row r="93" spans="1:10" ht="47.25">
      <c r="A93" s="162" t="s">
        <v>125</v>
      </c>
      <c r="B93" s="163" t="s">
        <v>18</v>
      </c>
      <c r="C93" s="164">
        <v>1</v>
      </c>
      <c r="D93" s="163" t="s">
        <v>66</v>
      </c>
      <c r="E93" s="163" t="s">
        <v>339</v>
      </c>
      <c r="F93" s="165">
        <v>240</v>
      </c>
      <c r="G93" s="166">
        <v>1</v>
      </c>
      <c r="H93" s="166">
        <v>13</v>
      </c>
      <c r="I93" s="229">
        <f>'Приложение 6'!J87</f>
        <v>50</v>
      </c>
      <c r="J93" s="229">
        <f>'Приложение 6'!K87</f>
        <v>41</v>
      </c>
    </row>
    <row r="94" spans="1:10" ht="31.5">
      <c r="A94" s="162" t="s">
        <v>467</v>
      </c>
      <c r="B94" s="163" t="s">
        <v>18</v>
      </c>
      <c r="C94" s="163">
        <v>2</v>
      </c>
      <c r="D94" s="163" t="s">
        <v>315</v>
      </c>
      <c r="E94" s="163" t="s">
        <v>423</v>
      </c>
      <c r="F94" s="165" t="s">
        <v>144</v>
      </c>
      <c r="G94" s="166" t="s">
        <v>144</v>
      </c>
      <c r="H94" s="166" t="s">
        <v>144</v>
      </c>
      <c r="I94" s="229">
        <f>I95+I97</f>
        <v>441</v>
      </c>
      <c r="J94" s="229">
        <f>J95+J97</f>
        <v>270.3</v>
      </c>
    </row>
    <row r="95" spans="1:10" ht="15.75">
      <c r="A95" s="162" t="s">
        <v>468</v>
      </c>
      <c r="B95" s="163" t="s">
        <v>18</v>
      </c>
      <c r="C95" s="163" t="s">
        <v>330</v>
      </c>
      <c r="D95" s="163" t="s">
        <v>13</v>
      </c>
      <c r="E95" s="163" t="s">
        <v>423</v>
      </c>
      <c r="F95" s="165"/>
      <c r="G95" s="166"/>
      <c r="H95" s="166"/>
      <c r="I95" s="229">
        <f>I96</f>
        <v>416</v>
      </c>
      <c r="J95" s="229">
        <f>J96</f>
        <v>268.8</v>
      </c>
    </row>
    <row r="96" spans="1:10" ht="47.25">
      <c r="A96" s="162" t="s">
        <v>125</v>
      </c>
      <c r="B96" s="163" t="s">
        <v>18</v>
      </c>
      <c r="C96" s="163" t="s">
        <v>330</v>
      </c>
      <c r="D96" s="163" t="s">
        <v>13</v>
      </c>
      <c r="E96" s="163" t="s">
        <v>339</v>
      </c>
      <c r="F96" s="165">
        <v>240</v>
      </c>
      <c r="G96" s="166">
        <v>5</v>
      </c>
      <c r="H96" s="166">
        <v>5</v>
      </c>
      <c r="I96" s="229">
        <f>'Приложение 6'!J232</f>
        <v>416</v>
      </c>
      <c r="J96" s="229">
        <f>'Приложение 6'!K232</f>
        <v>268.8</v>
      </c>
    </row>
    <row r="97" spans="1:10" ht="31.5">
      <c r="A97" s="162" t="s">
        <v>466</v>
      </c>
      <c r="B97" s="163" t="s">
        <v>18</v>
      </c>
      <c r="C97" s="164">
        <v>2</v>
      </c>
      <c r="D97" s="163" t="s">
        <v>12</v>
      </c>
      <c r="E97" s="163" t="s">
        <v>423</v>
      </c>
      <c r="F97" s="165"/>
      <c r="G97" s="166"/>
      <c r="H97" s="166"/>
      <c r="I97" s="229">
        <f>I98</f>
        <v>25</v>
      </c>
      <c r="J97" s="229">
        <f>J98</f>
        <v>1.5</v>
      </c>
    </row>
    <row r="98" spans="1:10" ht="47.25">
      <c r="A98" s="162" t="s">
        <v>125</v>
      </c>
      <c r="B98" s="163" t="s">
        <v>18</v>
      </c>
      <c r="C98" s="164">
        <v>2</v>
      </c>
      <c r="D98" s="163" t="s">
        <v>12</v>
      </c>
      <c r="E98" s="163" t="s">
        <v>339</v>
      </c>
      <c r="F98" s="165">
        <v>240</v>
      </c>
      <c r="G98" s="166">
        <v>5</v>
      </c>
      <c r="H98" s="166">
        <v>5</v>
      </c>
      <c r="I98" s="229">
        <f>'Приложение 6'!J235</f>
        <v>25</v>
      </c>
      <c r="J98" s="229">
        <f>'Приложение 6'!K235</f>
        <v>1.5</v>
      </c>
    </row>
    <row r="99" spans="1:10" ht="31.5">
      <c r="A99" s="162" t="s">
        <v>467</v>
      </c>
      <c r="B99" s="163" t="s">
        <v>18</v>
      </c>
      <c r="C99" s="163" t="s">
        <v>130</v>
      </c>
      <c r="D99" s="163" t="s">
        <v>315</v>
      </c>
      <c r="E99" s="163" t="s">
        <v>423</v>
      </c>
      <c r="F99" s="165" t="s">
        <v>144</v>
      </c>
      <c r="G99" s="166" t="s">
        <v>144</v>
      </c>
      <c r="H99" s="166" t="s">
        <v>144</v>
      </c>
      <c r="I99" s="229">
        <f>I100+I102</f>
        <v>67</v>
      </c>
      <c r="J99" s="229">
        <f>J100+J102</f>
        <v>43</v>
      </c>
    </row>
    <row r="100" spans="1:10" ht="15.75">
      <c r="A100" s="162" t="s">
        <v>461</v>
      </c>
      <c r="B100" s="163" t="s">
        <v>18</v>
      </c>
      <c r="C100" s="163" t="s">
        <v>130</v>
      </c>
      <c r="D100" s="163" t="s">
        <v>11</v>
      </c>
      <c r="E100" s="163" t="s">
        <v>423</v>
      </c>
      <c r="F100" s="165"/>
      <c r="G100" s="166"/>
      <c r="H100" s="166"/>
      <c r="I100" s="229">
        <f>I101</f>
        <v>57</v>
      </c>
      <c r="J100" s="229">
        <f>J101</f>
        <v>40.4</v>
      </c>
    </row>
    <row r="101" spans="1:10" ht="47.25">
      <c r="A101" s="162" t="s">
        <v>125</v>
      </c>
      <c r="B101" s="163" t="s">
        <v>18</v>
      </c>
      <c r="C101" s="163" t="s">
        <v>130</v>
      </c>
      <c r="D101" s="163" t="s">
        <v>11</v>
      </c>
      <c r="E101" s="163" t="s">
        <v>339</v>
      </c>
      <c r="F101" s="165">
        <v>240</v>
      </c>
      <c r="G101" s="166">
        <v>8</v>
      </c>
      <c r="H101" s="166">
        <v>1</v>
      </c>
      <c r="I101" s="229">
        <f>'Приложение 6'!J265</f>
        <v>57</v>
      </c>
      <c r="J101" s="229">
        <f>'Приложение 6'!K265</f>
        <v>40.4</v>
      </c>
    </row>
    <row r="102" spans="1:10" ht="31.5">
      <c r="A102" s="162" t="s">
        <v>466</v>
      </c>
      <c r="B102" s="163" t="s">
        <v>18</v>
      </c>
      <c r="C102" s="164">
        <v>3</v>
      </c>
      <c r="D102" s="163" t="s">
        <v>13</v>
      </c>
      <c r="E102" s="163" t="s">
        <v>423</v>
      </c>
      <c r="F102" s="165"/>
      <c r="G102" s="166"/>
      <c r="H102" s="166"/>
      <c r="I102" s="229">
        <f>I103</f>
        <v>10</v>
      </c>
      <c r="J102" s="229">
        <f>J103</f>
        <v>2.6</v>
      </c>
    </row>
    <row r="103" spans="1:10" ht="47.25">
      <c r="A103" s="162" t="s">
        <v>125</v>
      </c>
      <c r="B103" s="163" t="s">
        <v>18</v>
      </c>
      <c r="C103" s="164">
        <v>3</v>
      </c>
      <c r="D103" s="163" t="s">
        <v>13</v>
      </c>
      <c r="E103" s="163" t="s">
        <v>339</v>
      </c>
      <c r="F103" s="165">
        <v>240</v>
      </c>
      <c r="G103" s="166">
        <v>8</v>
      </c>
      <c r="H103" s="166">
        <v>1</v>
      </c>
      <c r="I103" s="229">
        <f>'Приложение 6'!J268</f>
        <v>10</v>
      </c>
      <c r="J103" s="229">
        <f>'Приложение 6'!K268</f>
        <v>2.6</v>
      </c>
    </row>
    <row r="104" spans="1:10" ht="31.5">
      <c r="A104" s="162" t="s">
        <v>428</v>
      </c>
      <c r="B104" s="163" t="s">
        <v>19</v>
      </c>
      <c r="C104" s="164" t="s">
        <v>128</v>
      </c>
      <c r="D104" s="163" t="s">
        <v>315</v>
      </c>
      <c r="E104" s="163" t="s">
        <v>423</v>
      </c>
      <c r="F104" s="165" t="s">
        <v>144</v>
      </c>
      <c r="G104" s="166" t="s">
        <v>144</v>
      </c>
      <c r="H104" s="166" t="s">
        <v>144</v>
      </c>
      <c r="I104" s="229">
        <f>I105</f>
        <v>127.2</v>
      </c>
      <c r="J104" s="229">
        <f>J105</f>
        <v>104.7</v>
      </c>
    </row>
    <row r="105" spans="1:10" ht="31.5">
      <c r="A105" s="162" t="s">
        <v>129</v>
      </c>
      <c r="B105" s="163" t="s">
        <v>19</v>
      </c>
      <c r="C105" s="164">
        <v>0</v>
      </c>
      <c r="D105" s="163" t="s">
        <v>315</v>
      </c>
      <c r="E105" s="163">
        <v>29010</v>
      </c>
      <c r="F105" s="165">
        <v>240</v>
      </c>
      <c r="G105" s="166">
        <v>1</v>
      </c>
      <c r="H105" s="166">
        <v>13</v>
      </c>
      <c r="I105" s="229">
        <f>'Приложение 6'!J91</f>
        <v>127.2</v>
      </c>
      <c r="J105" s="229">
        <f>'Приложение 6'!K91</f>
        <v>104.7</v>
      </c>
    </row>
    <row r="106" spans="1:10" ht="47.25">
      <c r="A106" s="162" t="s">
        <v>429</v>
      </c>
      <c r="B106" s="163" t="s">
        <v>36</v>
      </c>
      <c r="C106" s="164" t="s">
        <v>128</v>
      </c>
      <c r="D106" s="163" t="s">
        <v>315</v>
      </c>
      <c r="E106" s="163" t="s">
        <v>423</v>
      </c>
      <c r="F106" s="165" t="s">
        <v>144</v>
      </c>
      <c r="G106" s="166" t="s">
        <v>144</v>
      </c>
      <c r="H106" s="166" t="s">
        <v>144</v>
      </c>
      <c r="I106" s="229">
        <f>I107</f>
        <v>791</v>
      </c>
      <c r="J106" s="229">
        <f>J107</f>
        <v>268.3</v>
      </c>
    </row>
    <row r="107" spans="1:10" ht="15.75">
      <c r="A107" s="162" t="s">
        <v>469</v>
      </c>
      <c r="B107" s="163" t="s">
        <v>36</v>
      </c>
      <c r="C107" s="164">
        <v>0</v>
      </c>
      <c r="D107" s="163" t="s">
        <v>11</v>
      </c>
      <c r="E107" s="163" t="s">
        <v>423</v>
      </c>
      <c r="F107" s="165"/>
      <c r="G107" s="166"/>
      <c r="H107" s="166"/>
      <c r="I107" s="229">
        <f>I108</f>
        <v>791</v>
      </c>
      <c r="J107" s="229">
        <f>J108</f>
        <v>268.3</v>
      </c>
    </row>
    <row r="108" spans="1:10" ht="15.75">
      <c r="A108" s="162" t="s">
        <v>383</v>
      </c>
      <c r="B108" s="163" t="s">
        <v>36</v>
      </c>
      <c r="C108" s="164">
        <v>0</v>
      </c>
      <c r="D108" s="163" t="s">
        <v>11</v>
      </c>
      <c r="E108" s="163" t="s">
        <v>384</v>
      </c>
      <c r="F108" s="165">
        <v>240</v>
      </c>
      <c r="G108" s="166">
        <v>8</v>
      </c>
      <c r="H108" s="166">
        <v>1</v>
      </c>
      <c r="I108" s="229">
        <f>'Приложение 6'!J272</f>
        <v>791</v>
      </c>
      <c r="J108" s="229">
        <f>'Приложение 6'!K272</f>
        <v>268.3</v>
      </c>
    </row>
    <row r="109" spans="1:10" ht="47.25">
      <c r="A109" s="162" t="s">
        <v>422</v>
      </c>
      <c r="B109" s="163" t="s">
        <v>37</v>
      </c>
      <c r="C109" s="164" t="s">
        <v>128</v>
      </c>
      <c r="D109" s="163" t="s">
        <v>315</v>
      </c>
      <c r="E109" s="163" t="s">
        <v>423</v>
      </c>
      <c r="F109" s="165" t="s">
        <v>144</v>
      </c>
      <c r="G109" s="166" t="s">
        <v>144</v>
      </c>
      <c r="H109" s="166" t="s">
        <v>144</v>
      </c>
      <c r="I109" s="229">
        <f>I110</f>
        <v>418.6</v>
      </c>
      <c r="J109" s="229">
        <f>J110</f>
        <v>333.79999999999995</v>
      </c>
    </row>
    <row r="110" spans="1:10" ht="31.5">
      <c r="A110" s="162" t="s">
        <v>470</v>
      </c>
      <c r="B110" s="163" t="s">
        <v>37</v>
      </c>
      <c r="C110" s="164">
        <v>0</v>
      </c>
      <c r="D110" s="163" t="s">
        <v>11</v>
      </c>
      <c r="E110" s="163" t="s">
        <v>423</v>
      </c>
      <c r="F110" s="165" t="s">
        <v>144</v>
      </c>
      <c r="G110" s="166" t="s">
        <v>144</v>
      </c>
      <c r="H110" s="166" t="s">
        <v>144</v>
      </c>
      <c r="I110" s="229">
        <f>SUM(I111:I113)</f>
        <v>418.6</v>
      </c>
      <c r="J110" s="229">
        <f>SUM(J111:J113)</f>
        <v>333.79999999999995</v>
      </c>
    </row>
    <row r="111" spans="1:10" ht="31.5">
      <c r="A111" s="162" t="s">
        <v>313</v>
      </c>
      <c r="B111" s="163" t="s">
        <v>37</v>
      </c>
      <c r="C111" s="164">
        <v>0</v>
      </c>
      <c r="D111" s="163" t="s">
        <v>11</v>
      </c>
      <c r="E111" s="163">
        <v>26910</v>
      </c>
      <c r="F111" s="165">
        <v>240</v>
      </c>
      <c r="G111" s="166">
        <v>1</v>
      </c>
      <c r="H111" s="166">
        <v>4</v>
      </c>
      <c r="I111" s="229">
        <f>'Приложение 6'!J16</f>
        <v>100</v>
      </c>
      <c r="J111" s="229">
        <f>'Приложение 6'!K16</f>
        <v>80</v>
      </c>
    </row>
    <row r="112" spans="1:10" ht="31.5">
      <c r="A112" s="162" t="s">
        <v>313</v>
      </c>
      <c r="B112" s="163" t="s">
        <v>37</v>
      </c>
      <c r="C112" s="164">
        <v>0</v>
      </c>
      <c r="D112" s="163" t="s">
        <v>11</v>
      </c>
      <c r="E112" s="163">
        <v>26910</v>
      </c>
      <c r="F112" s="165">
        <v>240</v>
      </c>
      <c r="G112" s="166">
        <v>1</v>
      </c>
      <c r="H112" s="166">
        <v>13</v>
      </c>
      <c r="I112" s="229">
        <f>'Приложение 6'!J95</f>
        <v>68.599999999999994</v>
      </c>
      <c r="J112" s="229">
        <f>'Приложение 6'!K95</f>
        <v>66.7</v>
      </c>
    </row>
    <row r="113" spans="1:10" ht="31.5">
      <c r="A113" s="162" t="s">
        <v>313</v>
      </c>
      <c r="B113" s="163" t="s">
        <v>37</v>
      </c>
      <c r="C113" s="164">
        <v>0</v>
      </c>
      <c r="D113" s="163" t="s">
        <v>11</v>
      </c>
      <c r="E113" s="163">
        <v>26910</v>
      </c>
      <c r="F113" s="165">
        <v>240</v>
      </c>
      <c r="G113" s="166">
        <v>12</v>
      </c>
      <c r="H113" s="166">
        <v>2</v>
      </c>
      <c r="I113" s="229">
        <f>'Приложение 6'!J315</f>
        <v>250</v>
      </c>
      <c r="J113" s="229">
        <f>'Приложение 6'!K315</f>
        <v>187.1</v>
      </c>
    </row>
    <row r="114" spans="1:10" ht="47.25">
      <c r="A114" s="162" t="s">
        <v>471</v>
      </c>
      <c r="B114" s="163" t="s">
        <v>43</v>
      </c>
      <c r="C114" s="164">
        <v>0</v>
      </c>
      <c r="D114" s="163" t="s">
        <v>315</v>
      </c>
      <c r="E114" s="163" t="s">
        <v>423</v>
      </c>
      <c r="F114" s="165"/>
      <c r="G114" s="166"/>
      <c r="H114" s="166"/>
      <c r="I114" s="229">
        <f>I115</f>
        <v>5</v>
      </c>
      <c r="J114" s="229">
        <f>J115</f>
        <v>0</v>
      </c>
    </row>
    <row r="115" spans="1:10" ht="15.75">
      <c r="A115" s="162" t="s">
        <v>439</v>
      </c>
      <c r="B115" s="163" t="s">
        <v>43</v>
      </c>
      <c r="C115" s="164">
        <v>0</v>
      </c>
      <c r="D115" s="163" t="s">
        <v>315</v>
      </c>
      <c r="E115" s="163" t="s">
        <v>440</v>
      </c>
      <c r="F115" s="165">
        <v>240</v>
      </c>
      <c r="G115" s="166">
        <v>3</v>
      </c>
      <c r="H115" s="166">
        <v>14</v>
      </c>
      <c r="I115" s="229">
        <f>'Приложение 6'!J140</f>
        <v>5</v>
      </c>
      <c r="J115" s="229">
        <f>'Приложение 6'!K140</f>
        <v>0</v>
      </c>
    </row>
    <row r="116" spans="1:10" ht="47.25">
      <c r="A116" s="162" t="s">
        <v>430</v>
      </c>
      <c r="B116" s="163" t="s">
        <v>123</v>
      </c>
      <c r="C116" s="164" t="s">
        <v>128</v>
      </c>
      <c r="D116" s="163" t="s">
        <v>315</v>
      </c>
      <c r="E116" s="163" t="s">
        <v>423</v>
      </c>
      <c r="F116" s="165"/>
      <c r="G116" s="166"/>
      <c r="H116" s="166"/>
      <c r="I116" s="229">
        <f>I117+I119</f>
        <v>44.599999999999994</v>
      </c>
      <c r="J116" s="229">
        <f>J117+J119</f>
        <v>44.5</v>
      </c>
    </row>
    <row r="117" spans="1:10" ht="63">
      <c r="A117" s="168" t="s">
        <v>517</v>
      </c>
      <c r="B117" s="163" t="s">
        <v>123</v>
      </c>
      <c r="C117" s="164">
        <v>0</v>
      </c>
      <c r="D117" s="163" t="s">
        <v>15</v>
      </c>
      <c r="E117" s="163" t="s">
        <v>423</v>
      </c>
      <c r="F117" s="165"/>
      <c r="G117" s="166"/>
      <c r="H117" s="166"/>
      <c r="I117" s="229">
        <f>I118</f>
        <v>20.399999999999999</v>
      </c>
      <c r="J117" s="229">
        <f>J118</f>
        <v>20.3</v>
      </c>
    </row>
    <row r="118" spans="1:10" ht="31.5">
      <c r="A118" s="168" t="s">
        <v>518</v>
      </c>
      <c r="B118" s="163" t="s">
        <v>123</v>
      </c>
      <c r="C118" s="164">
        <v>0</v>
      </c>
      <c r="D118" s="163" t="s">
        <v>15</v>
      </c>
      <c r="E118" s="163" t="s">
        <v>519</v>
      </c>
      <c r="F118" s="165">
        <v>240</v>
      </c>
      <c r="G118" s="166">
        <v>1</v>
      </c>
      <c r="H118" s="166">
        <v>13</v>
      </c>
      <c r="I118" s="229">
        <f>'Приложение 6'!J99</f>
        <v>20.399999999999999</v>
      </c>
      <c r="J118" s="229">
        <f>'Приложение 6'!K99</f>
        <v>20.3</v>
      </c>
    </row>
    <row r="119" spans="1:10" ht="63">
      <c r="A119" s="168" t="s">
        <v>520</v>
      </c>
      <c r="B119" s="163" t="s">
        <v>123</v>
      </c>
      <c r="C119" s="164">
        <v>0</v>
      </c>
      <c r="D119" s="163" t="s">
        <v>16</v>
      </c>
      <c r="E119" s="163" t="s">
        <v>423</v>
      </c>
      <c r="F119" s="165"/>
      <c r="G119" s="166"/>
      <c r="H119" s="166"/>
      <c r="I119" s="229">
        <f>I120</f>
        <v>24.2</v>
      </c>
      <c r="J119" s="229">
        <f>J120</f>
        <v>24.2</v>
      </c>
    </row>
    <row r="120" spans="1:10" ht="31.5">
      <c r="A120" s="168" t="s">
        <v>521</v>
      </c>
      <c r="B120" s="163" t="s">
        <v>123</v>
      </c>
      <c r="C120" s="164">
        <v>0</v>
      </c>
      <c r="D120" s="163" t="s">
        <v>16</v>
      </c>
      <c r="E120" s="163" t="s">
        <v>522</v>
      </c>
      <c r="F120" s="165">
        <v>240</v>
      </c>
      <c r="G120" s="166">
        <v>1</v>
      </c>
      <c r="H120" s="166">
        <v>13</v>
      </c>
      <c r="I120" s="229">
        <f>'Приложение 6'!J102</f>
        <v>24.2</v>
      </c>
      <c r="J120" s="229">
        <f>'Приложение 6'!K102</f>
        <v>24.2</v>
      </c>
    </row>
    <row r="121" spans="1:10" ht="47.25">
      <c r="A121" s="168" t="s">
        <v>527</v>
      </c>
      <c r="B121" s="163" t="s">
        <v>437</v>
      </c>
      <c r="C121" s="164">
        <v>0</v>
      </c>
      <c r="D121" s="163" t="s">
        <v>315</v>
      </c>
      <c r="E121" s="163" t="s">
        <v>423</v>
      </c>
      <c r="F121" s="165"/>
      <c r="G121" s="166"/>
      <c r="H121" s="166"/>
      <c r="I121" s="229">
        <f t="shared" ref="I121:J123" si="0">I122</f>
        <v>1327.9</v>
      </c>
      <c r="J121" s="229">
        <f t="shared" si="0"/>
        <v>1171.3</v>
      </c>
    </row>
    <row r="122" spans="1:10" ht="47.25">
      <c r="A122" s="168" t="s">
        <v>559</v>
      </c>
      <c r="B122" s="163" t="s">
        <v>437</v>
      </c>
      <c r="C122" s="164">
        <v>1</v>
      </c>
      <c r="D122" s="163" t="s">
        <v>315</v>
      </c>
      <c r="E122" s="163" t="s">
        <v>423</v>
      </c>
      <c r="F122" s="165"/>
      <c r="G122" s="166"/>
      <c r="H122" s="166"/>
      <c r="I122" s="229">
        <f t="shared" si="0"/>
        <v>1327.9</v>
      </c>
      <c r="J122" s="229">
        <f t="shared" si="0"/>
        <v>1171.3</v>
      </c>
    </row>
    <row r="123" spans="1:10" ht="94.5">
      <c r="A123" s="168" t="s">
        <v>540</v>
      </c>
      <c r="B123" s="163" t="s">
        <v>437</v>
      </c>
      <c r="C123" s="164">
        <v>1</v>
      </c>
      <c r="D123" s="163" t="s">
        <v>12</v>
      </c>
      <c r="E123" s="163" t="s">
        <v>423</v>
      </c>
      <c r="F123" s="165"/>
      <c r="G123" s="166"/>
      <c r="H123" s="166"/>
      <c r="I123" s="229">
        <f t="shared" si="0"/>
        <v>1327.9</v>
      </c>
      <c r="J123" s="229">
        <f t="shared" si="0"/>
        <v>1171.3</v>
      </c>
    </row>
    <row r="124" spans="1:10" ht="78.75">
      <c r="A124" s="168" t="s">
        <v>539</v>
      </c>
      <c r="B124" s="163" t="s">
        <v>437</v>
      </c>
      <c r="C124" s="164">
        <v>1</v>
      </c>
      <c r="D124" s="163" t="s">
        <v>12</v>
      </c>
      <c r="E124" s="163" t="s">
        <v>442</v>
      </c>
      <c r="F124" s="165">
        <v>540</v>
      </c>
      <c r="G124" s="166">
        <v>5</v>
      </c>
      <c r="H124" s="166">
        <v>3</v>
      </c>
      <c r="I124" s="229">
        <f>'Приложение 6'!J218</f>
        <v>1327.9</v>
      </c>
      <c r="J124" s="229">
        <f>'Приложение 6'!K218</f>
        <v>1171.3</v>
      </c>
    </row>
    <row r="125" spans="1:10" ht="94.5">
      <c r="A125" s="168" t="s">
        <v>542</v>
      </c>
      <c r="B125" s="163" t="s">
        <v>543</v>
      </c>
      <c r="C125" s="164" t="s">
        <v>128</v>
      </c>
      <c r="D125" s="163" t="s">
        <v>315</v>
      </c>
      <c r="E125" s="163" t="s">
        <v>423</v>
      </c>
      <c r="F125" s="165"/>
      <c r="G125" s="166"/>
      <c r="H125" s="166"/>
      <c r="I125" s="229">
        <f>I126</f>
        <v>31.5</v>
      </c>
      <c r="J125" s="229">
        <f>J126</f>
        <v>31.5</v>
      </c>
    </row>
    <row r="126" spans="1:10" ht="31.5">
      <c r="A126" s="168" t="s">
        <v>544</v>
      </c>
      <c r="B126" s="163" t="s">
        <v>543</v>
      </c>
      <c r="C126" s="164">
        <v>0</v>
      </c>
      <c r="D126" s="163" t="s">
        <v>315</v>
      </c>
      <c r="E126" s="163" t="s">
        <v>545</v>
      </c>
      <c r="F126" s="165">
        <v>240</v>
      </c>
      <c r="G126" s="166">
        <v>7</v>
      </c>
      <c r="H126" s="166">
        <v>5</v>
      </c>
      <c r="I126" s="229">
        <f>'Приложение 6'!J240</f>
        <v>31.5</v>
      </c>
      <c r="J126" s="229">
        <f>'Приложение 6'!K240</f>
        <v>31.5</v>
      </c>
    </row>
    <row r="127" spans="1:10" ht="15.75">
      <c r="A127" s="169" t="s">
        <v>146</v>
      </c>
      <c r="B127" s="170" t="s">
        <v>144</v>
      </c>
      <c r="C127" s="171" t="s">
        <v>144</v>
      </c>
      <c r="D127" s="170" t="s">
        <v>144</v>
      </c>
      <c r="E127" s="230" t="s">
        <v>144</v>
      </c>
      <c r="F127" s="172" t="s">
        <v>144</v>
      </c>
      <c r="G127" s="172" t="s">
        <v>144</v>
      </c>
      <c r="H127" s="172" t="s">
        <v>144</v>
      </c>
      <c r="I127" s="231">
        <f>I10+I17+I26+I54+I56+I61+I80+I104+I106+I109+I114+I116+I121+I125</f>
        <v>108617.5</v>
      </c>
      <c r="J127" s="231">
        <f>J10+J17+J26+J54+J56+J61+J80+J104+J106+J109+J114+J116+J121+J125</f>
        <v>79009.3</v>
      </c>
    </row>
  </sheetData>
  <mergeCells count="2">
    <mergeCell ref="A7:J7"/>
    <mergeCell ref="B9:E9"/>
  </mergeCells>
  <pageMargins left="0.39370078740157483" right="0.27559055118110237" top="0.59055118110236227" bottom="0.59055118110236227" header="0.31496062992125984" footer="0.31496062992125984"/>
  <pageSetup paperSize="9" scale="73" fitToHeight="10" orientation="portrait" r:id="rId1"/>
  <rowBreaks count="4" manualBreakCount="4">
    <brk id="35" max="16383" man="1"/>
    <brk id="54" max="16383" man="1"/>
    <brk id="72" max="16383" man="1"/>
    <brk id="9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view="pageBreakPreview" zoomScaleNormal="100" zoomScaleSheetLayoutView="100" workbookViewId="0">
      <selection activeCell="B8" sqref="B8:D8"/>
    </sheetView>
  </sheetViews>
  <sheetFormatPr defaultRowHeight="12.75"/>
  <cols>
    <col min="1" max="1" width="3.140625" style="232" customWidth="1"/>
    <col min="2" max="2" width="47.7109375" style="232" customWidth="1"/>
    <col min="3" max="3" width="19.140625" style="232" customWidth="1"/>
    <col min="4" max="4" width="13.28515625" style="232" customWidth="1"/>
    <col min="5" max="5" width="6.42578125" style="232" customWidth="1"/>
    <col min="6" max="16384" width="9.140625" style="232"/>
  </cols>
  <sheetData>
    <row r="1" spans="1:4" ht="15.75">
      <c r="D1" s="245" t="s">
        <v>46</v>
      </c>
    </row>
    <row r="2" spans="1:4" ht="15.75">
      <c r="D2" s="245" t="s">
        <v>242</v>
      </c>
    </row>
    <row r="3" spans="1:4" ht="15.75">
      <c r="D3" s="245" t="s">
        <v>565</v>
      </c>
    </row>
    <row r="4" spans="1:4" ht="15.75">
      <c r="D4" s="245" t="s">
        <v>566</v>
      </c>
    </row>
    <row r="5" spans="1:4" ht="15.75">
      <c r="D5" s="245" t="str">
        <f>'Приложение 1'!D5</f>
        <v>от "___" _____________ 2019 года</v>
      </c>
    </row>
    <row r="6" spans="1:4" ht="15.75">
      <c r="C6" s="233"/>
      <c r="D6" s="233"/>
    </row>
    <row r="7" spans="1:4" ht="16.899999999999999" customHeight="1"/>
    <row r="8" spans="1:4" ht="79.5" customHeight="1">
      <c r="B8" s="259" t="s">
        <v>571</v>
      </c>
      <c r="C8" s="259"/>
      <c r="D8" s="259"/>
    </row>
    <row r="9" spans="1:4" ht="12.6" customHeight="1">
      <c r="B9" s="260"/>
      <c r="C9" s="260"/>
      <c r="D9" s="260"/>
    </row>
    <row r="10" spans="1:4" ht="10.9" customHeight="1">
      <c r="B10" s="234"/>
      <c r="D10" s="235" t="s">
        <v>562</v>
      </c>
    </row>
    <row r="11" spans="1:4" ht="195" customHeight="1">
      <c r="A11" s="236"/>
      <c r="B11" s="237" t="s">
        <v>563</v>
      </c>
      <c r="C11" s="118" t="s">
        <v>511</v>
      </c>
      <c r="D11" s="118" t="s">
        <v>247</v>
      </c>
    </row>
    <row r="12" spans="1:4" ht="31.5">
      <c r="A12" s="238">
        <v>1</v>
      </c>
      <c r="B12" s="239" t="s">
        <v>564</v>
      </c>
      <c r="C12" s="240">
        <v>7120.2</v>
      </c>
      <c r="D12" s="240">
        <v>7120.2</v>
      </c>
    </row>
    <row r="13" spans="1:4" ht="15.75">
      <c r="A13" s="238">
        <v>2</v>
      </c>
      <c r="B13" s="239" t="s">
        <v>188</v>
      </c>
      <c r="C13" s="240">
        <f>43229.2*0.16</f>
        <v>6916.6719999999996</v>
      </c>
      <c r="D13" s="240">
        <v>6892</v>
      </c>
    </row>
    <row r="14" spans="1:4" ht="18" customHeight="1">
      <c r="A14" s="241"/>
      <c r="B14" s="242" t="s">
        <v>146</v>
      </c>
      <c r="C14" s="243">
        <f>SUM(C12:C13)</f>
        <v>14036.871999999999</v>
      </c>
      <c r="D14" s="243">
        <f>SUM(D12:D13)</f>
        <v>14012.2</v>
      </c>
    </row>
    <row r="17" spans="3:4">
      <c r="C17" s="244">
        <f>'Приложение 6'!J142</f>
        <v>14036.900000000001</v>
      </c>
      <c r="D17" s="244">
        <f>'Приложение 6'!K142</f>
        <v>12878.4</v>
      </c>
    </row>
    <row r="18" spans="3:4">
      <c r="C18" s="244">
        <f>C14-C17</f>
        <v>-2.8000000002066372E-2</v>
      </c>
      <c r="D18" s="244">
        <f>D14-D17</f>
        <v>1133.8000000000011</v>
      </c>
    </row>
    <row r="19" spans="3:4">
      <c r="C19" s="244"/>
      <c r="D19" s="244"/>
    </row>
    <row r="20" spans="3:4">
      <c r="C20" s="244"/>
      <c r="D20" s="244"/>
    </row>
    <row r="21" spans="3:4">
      <c r="C21" s="244"/>
      <c r="D21" s="244"/>
    </row>
  </sheetData>
  <mergeCells count="2">
    <mergeCell ref="B8:D8"/>
    <mergeCell ref="B9:D9"/>
  </mergeCells>
  <pageMargins left="0.78740157480314965" right="0.19685039370078741" top="0.31496062992125984" bottom="0.31496062992125984" header="0" footer="0"/>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showGridLines="0" view="pageBreakPreview" zoomScaleSheetLayoutView="100" workbookViewId="0">
      <selection activeCell="H16" sqref="H16"/>
    </sheetView>
  </sheetViews>
  <sheetFormatPr defaultRowHeight="12.75"/>
  <cols>
    <col min="1" max="1" width="4" style="22" customWidth="1"/>
    <col min="2" max="2" width="37.140625" style="22" customWidth="1"/>
    <col min="3" max="3" width="4.42578125" style="22" customWidth="1"/>
    <col min="4" max="4" width="4.5703125" style="22" customWidth="1"/>
    <col min="5" max="7" width="3.5703125" style="22" customWidth="1"/>
    <col min="8" max="8" width="6.7109375" style="22" customWidth="1"/>
    <col min="9" max="9" width="5.42578125" style="22" customWidth="1"/>
    <col min="10" max="10" width="18" style="22" customWidth="1"/>
    <col min="11" max="11" width="12.7109375" style="22" customWidth="1"/>
    <col min="12" max="12" width="15.140625" style="22" customWidth="1"/>
    <col min="13" max="13" width="13.42578125" style="22" customWidth="1"/>
    <col min="14" max="14" width="11.85546875" style="22" customWidth="1"/>
    <col min="15" max="15" width="13" style="22" customWidth="1"/>
    <col min="16" max="16" width="9.42578125" style="22" customWidth="1"/>
    <col min="17" max="17" width="2.42578125" style="22" customWidth="1"/>
    <col min="18" max="246" width="9.140625" style="22" customWidth="1"/>
    <col min="247" max="16384" width="9.140625" style="22"/>
  </cols>
  <sheetData>
    <row r="1" spans="1:18" ht="15.75">
      <c r="I1" s="23"/>
      <c r="K1" s="245" t="s">
        <v>297</v>
      </c>
    </row>
    <row r="2" spans="1:18" ht="15.75">
      <c r="K2" s="245" t="s">
        <v>242</v>
      </c>
    </row>
    <row r="3" spans="1:18" ht="15.75">
      <c r="K3" s="245" t="s">
        <v>565</v>
      </c>
    </row>
    <row r="4" spans="1:18" ht="15.75">
      <c r="A4" s="24"/>
      <c r="B4" s="24"/>
      <c r="C4" s="24"/>
      <c r="D4" s="24"/>
      <c r="E4" s="24"/>
      <c r="F4" s="24"/>
      <c r="G4" s="24"/>
      <c r="H4" s="24"/>
      <c r="I4" s="24"/>
      <c r="K4" s="245" t="s">
        <v>566</v>
      </c>
      <c r="L4" s="25"/>
      <c r="M4" s="25"/>
      <c r="N4" s="25"/>
      <c r="O4" s="25"/>
      <c r="P4" s="25"/>
      <c r="Q4" s="25"/>
    </row>
    <row r="5" spans="1:18" ht="15.75">
      <c r="A5" s="24"/>
      <c r="B5" s="24"/>
      <c r="C5" s="24"/>
      <c r="D5" s="24"/>
      <c r="E5" s="24"/>
      <c r="F5" s="24"/>
      <c r="G5" s="24"/>
      <c r="H5" s="24"/>
      <c r="I5" s="24"/>
      <c r="K5" s="245" t="str">
        <f>'Приложение 1'!D5</f>
        <v>от "___" _____________ 2019 года</v>
      </c>
      <c r="L5" s="25"/>
      <c r="M5" s="25"/>
      <c r="N5" s="25"/>
      <c r="O5" s="25"/>
      <c r="P5" s="25"/>
      <c r="Q5" s="25"/>
    </row>
    <row r="6" spans="1:18" ht="15">
      <c r="A6" s="24"/>
      <c r="B6" s="24"/>
      <c r="C6" s="24"/>
      <c r="D6" s="24"/>
      <c r="E6" s="24"/>
      <c r="F6" s="24"/>
      <c r="G6" s="24"/>
      <c r="H6" s="24"/>
      <c r="I6" s="24"/>
      <c r="J6" s="4"/>
      <c r="K6" s="25"/>
      <c r="L6" s="25"/>
      <c r="M6" s="25"/>
      <c r="N6" s="25"/>
      <c r="O6" s="25"/>
      <c r="P6" s="25"/>
      <c r="Q6" s="25"/>
    </row>
    <row r="7" spans="1:18" ht="136.5" customHeight="1">
      <c r="A7" s="261" t="s">
        <v>567</v>
      </c>
      <c r="B7" s="261"/>
      <c r="C7" s="261"/>
      <c r="D7" s="261"/>
      <c r="E7" s="261"/>
      <c r="F7" s="261"/>
      <c r="G7" s="261"/>
      <c r="H7" s="261"/>
      <c r="I7" s="261"/>
      <c r="J7" s="261"/>
      <c r="K7" s="261"/>
      <c r="L7" s="25"/>
      <c r="M7" s="25"/>
      <c r="N7" s="25"/>
      <c r="O7" s="25"/>
      <c r="P7" s="25"/>
      <c r="Q7" s="25"/>
    </row>
    <row r="8" spans="1:18" ht="18.75">
      <c r="A8" s="26"/>
      <c r="B8" s="27"/>
      <c r="C8" s="27"/>
      <c r="D8" s="27"/>
      <c r="E8" s="27"/>
      <c r="F8" s="27"/>
      <c r="G8" s="27"/>
      <c r="H8" s="27"/>
      <c r="K8" s="130" t="s">
        <v>141</v>
      </c>
      <c r="L8" s="25"/>
      <c r="M8" s="25"/>
      <c r="N8" s="25"/>
      <c r="O8" s="25"/>
      <c r="P8" s="25"/>
      <c r="Q8" s="25"/>
    </row>
    <row r="9" spans="1:18" ht="203.25" customHeight="1">
      <c r="A9" s="127" t="s">
        <v>142</v>
      </c>
      <c r="B9" s="128" t="s">
        <v>4</v>
      </c>
      <c r="C9" s="28" t="s">
        <v>5</v>
      </c>
      <c r="D9" s="29" t="s">
        <v>23</v>
      </c>
      <c r="E9" s="253" t="s">
        <v>6</v>
      </c>
      <c r="F9" s="253"/>
      <c r="G9" s="253"/>
      <c r="H9" s="253"/>
      <c r="I9" s="29" t="s">
        <v>7</v>
      </c>
      <c r="J9" s="118" t="s">
        <v>511</v>
      </c>
      <c r="K9" s="118" t="s">
        <v>247</v>
      </c>
      <c r="L9" s="30"/>
      <c r="M9" s="30"/>
      <c r="N9" s="30"/>
      <c r="O9" s="30"/>
      <c r="P9" s="30"/>
      <c r="Q9" s="31"/>
      <c r="R9" s="32"/>
    </row>
    <row r="10" spans="1:18" ht="121.5" customHeight="1">
      <c r="A10" s="33">
        <v>1</v>
      </c>
      <c r="B10" s="129" t="s">
        <v>143</v>
      </c>
      <c r="C10" s="34" t="s">
        <v>144</v>
      </c>
      <c r="D10" s="34" t="s">
        <v>144</v>
      </c>
      <c r="E10" s="35" t="s">
        <v>144</v>
      </c>
      <c r="F10" s="33" t="s">
        <v>144</v>
      </c>
      <c r="G10" s="33"/>
      <c r="H10" s="36" t="s">
        <v>144</v>
      </c>
      <c r="I10" s="37" t="s">
        <v>144</v>
      </c>
      <c r="J10" s="38">
        <f t="shared" ref="J10:K13" si="0">J11</f>
        <v>497.7</v>
      </c>
      <c r="K10" s="38">
        <f t="shared" si="0"/>
        <v>495.4</v>
      </c>
      <c r="L10" s="25"/>
      <c r="M10" s="25"/>
      <c r="N10" s="25"/>
      <c r="O10" s="25"/>
      <c r="P10" s="25"/>
      <c r="Q10" s="25"/>
    </row>
    <row r="11" spans="1:18" s="45" customFormat="1" ht="15.75">
      <c r="A11" s="39" t="s">
        <v>144</v>
      </c>
      <c r="B11" s="40" t="s">
        <v>39</v>
      </c>
      <c r="C11" s="41" t="s">
        <v>36</v>
      </c>
      <c r="D11" s="41" t="s">
        <v>12</v>
      </c>
      <c r="E11" s="41"/>
      <c r="F11" s="41"/>
      <c r="G11" s="41"/>
      <c r="H11" s="41"/>
      <c r="I11" s="42"/>
      <c r="J11" s="43">
        <f t="shared" si="0"/>
        <v>497.7</v>
      </c>
      <c r="K11" s="43">
        <f t="shared" si="0"/>
        <v>495.4</v>
      </c>
      <c r="L11" s="44"/>
      <c r="M11" s="44"/>
      <c r="N11" s="44"/>
      <c r="O11" s="44"/>
      <c r="P11" s="44"/>
      <c r="Q11" s="44"/>
    </row>
    <row r="12" spans="1:18" ht="35.25" customHeight="1">
      <c r="A12" s="39" t="s">
        <v>144</v>
      </c>
      <c r="B12" s="46" t="s">
        <v>86</v>
      </c>
      <c r="C12" s="41" t="s">
        <v>36</v>
      </c>
      <c r="D12" s="41" t="s">
        <v>12</v>
      </c>
      <c r="E12" s="41" t="s">
        <v>85</v>
      </c>
      <c r="F12" s="42"/>
      <c r="G12" s="41"/>
      <c r="H12" s="41"/>
      <c r="I12" s="42"/>
      <c r="J12" s="43">
        <f t="shared" si="0"/>
        <v>497.7</v>
      </c>
      <c r="K12" s="43">
        <f t="shared" si="0"/>
        <v>495.4</v>
      </c>
      <c r="L12" s="25"/>
      <c r="M12" s="25"/>
      <c r="N12" s="25"/>
      <c r="O12" s="25"/>
      <c r="P12" s="25"/>
      <c r="Q12" s="25"/>
    </row>
    <row r="13" spans="1:18" ht="30.75" customHeight="1">
      <c r="A13" s="39" t="s">
        <v>144</v>
      </c>
      <c r="B13" s="46" t="s">
        <v>87</v>
      </c>
      <c r="C13" s="41" t="s">
        <v>36</v>
      </c>
      <c r="D13" s="41" t="s">
        <v>12</v>
      </c>
      <c r="E13" s="41" t="s">
        <v>85</v>
      </c>
      <c r="F13" s="42">
        <v>3</v>
      </c>
      <c r="G13" s="41"/>
      <c r="H13" s="41"/>
      <c r="I13" s="42"/>
      <c r="J13" s="43">
        <f t="shared" si="0"/>
        <v>497.7</v>
      </c>
      <c r="K13" s="43">
        <f t="shared" si="0"/>
        <v>495.4</v>
      </c>
      <c r="L13" s="25"/>
      <c r="M13" s="25"/>
      <c r="N13" s="25"/>
      <c r="O13" s="25"/>
      <c r="P13" s="25"/>
      <c r="Q13" s="25"/>
    </row>
    <row r="14" spans="1:18" ht="51.75" customHeight="1">
      <c r="A14" s="39" t="s">
        <v>144</v>
      </c>
      <c r="B14" s="46" t="s">
        <v>88</v>
      </c>
      <c r="C14" s="41" t="s">
        <v>36</v>
      </c>
      <c r="D14" s="41" t="s">
        <v>12</v>
      </c>
      <c r="E14" s="41" t="s">
        <v>85</v>
      </c>
      <c r="F14" s="42">
        <v>3</v>
      </c>
      <c r="G14" s="41" t="s">
        <v>315</v>
      </c>
      <c r="H14" s="41" t="s">
        <v>391</v>
      </c>
      <c r="I14" s="42"/>
      <c r="J14" s="43">
        <f>SUM(J15:J15)</f>
        <v>497.7</v>
      </c>
      <c r="K14" s="43">
        <f>SUM(K15:K15)</f>
        <v>495.4</v>
      </c>
      <c r="L14" s="25"/>
      <c r="M14" s="25"/>
      <c r="N14" s="25"/>
      <c r="O14" s="25"/>
      <c r="P14" s="25"/>
      <c r="Q14" s="25"/>
    </row>
    <row r="15" spans="1:18" s="155" customFormat="1" ht="94.5">
      <c r="A15" s="39"/>
      <c r="B15" s="46" t="s">
        <v>444</v>
      </c>
      <c r="C15" s="41" t="s">
        <v>36</v>
      </c>
      <c r="D15" s="41" t="s">
        <v>12</v>
      </c>
      <c r="E15" s="41" t="s">
        <v>85</v>
      </c>
      <c r="F15" s="42">
        <v>3</v>
      </c>
      <c r="G15" s="41" t="s">
        <v>315</v>
      </c>
      <c r="H15" s="41" t="s">
        <v>391</v>
      </c>
      <c r="I15" s="42">
        <v>810</v>
      </c>
      <c r="J15" s="43">
        <f>'Приложение 6'!J295</f>
        <v>497.7</v>
      </c>
      <c r="K15" s="43">
        <f>'Приложение 6'!K295</f>
        <v>495.4</v>
      </c>
      <c r="L15" s="154"/>
      <c r="M15" s="154"/>
      <c r="N15" s="154"/>
      <c r="O15" s="154"/>
      <c r="P15" s="154"/>
      <c r="Q15" s="154"/>
    </row>
    <row r="16" spans="1:18" ht="110.25">
      <c r="A16" s="33">
        <v>2</v>
      </c>
      <c r="B16" s="129" t="s">
        <v>145</v>
      </c>
      <c r="C16" s="34" t="s">
        <v>144</v>
      </c>
      <c r="D16" s="34" t="s">
        <v>144</v>
      </c>
      <c r="E16" s="35" t="s">
        <v>144</v>
      </c>
      <c r="F16" s="33" t="s">
        <v>144</v>
      </c>
      <c r="G16" s="33"/>
      <c r="H16" s="36" t="s">
        <v>144</v>
      </c>
      <c r="I16" s="37" t="s">
        <v>144</v>
      </c>
      <c r="J16" s="38">
        <f t="shared" ref="J16:K20" si="1">J17</f>
        <v>80</v>
      </c>
      <c r="K16" s="38">
        <f t="shared" si="1"/>
        <v>80</v>
      </c>
      <c r="L16" s="25"/>
      <c r="M16" s="25"/>
      <c r="N16" s="25"/>
      <c r="O16" s="25"/>
      <c r="P16" s="25"/>
      <c r="Q16" s="25"/>
    </row>
    <row r="17" spans="1:17" ht="15.75">
      <c r="A17" s="39" t="s">
        <v>144</v>
      </c>
      <c r="B17" s="40" t="s">
        <v>39</v>
      </c>
      <c r="C17" s="39">
        <v>10</v>
      </c>
      <c r="D17" s="39">
        <v>3</v>
      </c>
      <c r="E17" s="47"/>
      <c r="F17" s="48"/>
      <c r="G17" s="48"/>
      <c r="H17" s="49"/>
      <c r="I17" s="50" t="s">
        <v>144</v>
      </c>
      <c r="J17" s="43">
        <f t="shared" si="1"/>
        <v>80</v>
      </c>
      <c r="K17" s="43">
        <f t="shared" si="1"/>
        <v>80</v>
      </c>
      <c r="L17" s="25"/>
      <c r="M17" s="25"/>
      <c r="N17" s="25"/>
      <c r="O17" s="25"/>
      <c r="P17" s="25"/>
      <c r="Q17" s="25"/>
    </row>
    <row r="18" spans="1:17" ht="15.75">
      <c r="A18" s="34"/>
      <c r="B18" s="46" t="s">
        <v>58</v>
      </c>
      <c r="C18" s="41" t="s">
        <v>36</v>
      </c>
      <c r="D18" s="41" t="s">
        <v>12</v>
      </c>
      <c r="E18" s="41" t="s">
        <v>45</v>
      </c>
      <c r="F18" s="42"/>
      <c r="G18" s="41"/>
      <c r="H18" s="41"/>
      <c r="I18" s="42"/>
      <c r="J18" s="43">
        <f t="shared" si="1"/>
        <v>80</v>
      </c>
      <c r="K18" s="43">
        <f t="shared" si="1"/>
        <v>80</v>
      </c>
      <c r="L18" s="25"/>
      <c r="M18" s="25"/>
      <c r="N18" s="25"/>
      <c r="O18" s="25"/>
      <c r="P18" s="25"/>
      <c r="Q18" s="25"/>
    </row>
    <row r="19" spans="1:17" ht="15.75">
      <c r="A19" s="39" t="s">
        <v>144</v>
      </c>
      <c r="B19" s="46" t="s">
        <v>59</v>
      </c>
      <c r="C19" s="41" t="s">
        <v>36</v>
      </c>
      <c r="D19" s="41" t="s">
        <v>12</v>
      </c>
      <c r="E19" s="41" t="s">
        <v>45</v>
      </c>
      <c r="F19" s="42">
        <v>9</v>
      </c>
      <c r="G19" s="41"/>
      <c r="H19" s="41"/>
      <c r="I19" s="42"/>
      <c r="J19" s="43">
        <f t="shared" si="1"/>
        <v>80</v>
      </c>
      <c r="K19" s="43">
        <f t="shared" si="1"/>
        <v>80</v>
      </c>
      <c r="L19" s="25"/>
      <c r="M19" s="25"/>
      <c r="N19" s="25"/>
      <c r="O19" s="25"/>
      <c r="P19" s="25"/>
      <c r="Q19" s="25"/>
    </row>
    <row r="20" spans="1:17" ht="15.75">
      <c r="A20" s="39" t="s">
        <v>144</v>
      </c>
      <c r="B20" s="46" t="s">
        <v>392</v>
      </c>
      <c r="C20" s="41" t="s">
        <v>36</v>
      </c>
      <c r="D20" s="41" t="s">
        <v>12</v>
      </c>
      <c r="E20" s="41" t="s">
        <v>45</v>
      </c>
      <c r="F20" s="42">
        <v>9</v>
      </c>
      <c r="G20" s="41" t="s">
        <v>315</v>
      </c>
      <c r="H20" s="41" t="s">
        <v>393</v>
      </c>
      <c r="I20" s="42"/>
      <c r="J20" s="43">
        <f t="shared" si="1"/>
        <v>80</v>
      </c>
      <c r="K20" s="43">
        <f t="shared" si="1"/>
        <v>80</v>
      </c>
      <c r="L20" s="25"/>
      <c r="M20" s="25"/>
      <c r="N20" s="25"/>
      <c r="O20" s="25"/>
      <c r="P20" s="25"/>
      <c r="Q20" s="25"/>
    </row>
    <row r="21" spans="1:17" ht="31.5">
      <c r="A21" s="39" t="s">
        <v>144</v>
      </c>
      <c r="B21" s="46" t="s">
        <v>120</v>
      </c>
      <c r="C21" s="41" t="s">
        <v>36</v>
      </c>
      <c r="D21" s="41" t="s">
        <v>12</v>
      </c>
      <c r="E21" s="41" t="s">
        <v>45</v>
      </c>
      <c r="F21" s="42">
        <v>9</v>
      </c>
      <c r="G21" s="41" t="s">
        <v>315</v>
      </c>
      <c r="H21" s="41" t="s">
        <v>393</v>
      </c>
      <c r="I21" s="42">
        <v>310</v>
      </c>
      <c r="J21" s="43">
        <f>'Приложение 6'!J299</f>
        <v>80</v>
      </c>
      <c r="K21" s="43">
        <f>'Приложение 6'!K299</f>
        <v>80</v>
      </c>
      <c r="L21" s="25"/>
      <c r="M21" s="25"/>
      <c r="N21" s="25"/>
      <c r="O21" s="25"/>
      <c r="P21" s="25"/>
      <c r="Q21" s="25"/>
    </row>
    <row r="22" spans="1:17" ht="15.75">
      <c r="A22" s="34" t="s">
        <v>144</v>
      </c>
      <c r="B22" s="51" t="s">
        <v>146</v>
      </c>
      <c r="C22" s="34" t="s">
        <v>144</v>
      </c>
      <c r="D22" s="34" t="s">
        <v>144</v>
      </c>
      <c r="E22" s="34" t="s">
        <v>144</v>
      </c>
      <c r="F22" s="33" t="s">
        <v>144</v>
      </c>
      <c r="G22" s="33"/>
      <c r="H22" s="52" t="s">
        <v>144</v>
      </c>
      <c r="I22" s="37" t="s">
        <v>144</v>
      </c>
      <c r="J22" s="38">
        <f>J10+J16</f>
        <v>577.70000000000005</v>
      </c>
      <c r="K22" s="38">
        <f>K10+K16</f>
        <v>575.4</v>
      </c>
      <c r="L22" s="25"/>
      <c r="M22" s="25"/>
      <c r="N22" s="25"/>
      <c r="O22" s="25"/>
      <c r="P22" s="25"/>
      <c r="Q22" s="25"/>
    </row>
    <row r="23" spans="1:17">
      <c r="A23" s="25"/>
      <c r="B23" s="25"/>
      <c r="C23" s="25"/>
      <c r="D23" s="25"/>
      <c r="E23" s="25"/>
      <c r="F23" s="25"/>
      <c r="G23" s="25"/>
      <c r="H23" s="25"/>
      <c r="I23" s="25"/>
      <c r="J23" s="25"/>
      <c r="K23" s="25"/>
      <c r="L23" s="25"/>
      <c r="M23" s="25"/>
      <c r="N23" s="25"/>
      <c r="O23" s="25"/>
      <c r="P23" s="25"/>
      <c r="Q23" s="25"/>
    </row>
    <row r="24" spans="1:17">
      <c r="A24" s="25"/>
      <c r="B24" s="25"/>
      <c r="C24" s="25"/>
      <c r="D24" s="25"/>
      <c r="E24" s="25"/>
      <c r="F24" s="25"/>
      <c r="G24" s="25"/>
      <c r="H24" s="25"/>
      <c r="I24" s="25"/>
      <c r="J24" s="25"/>
      <c r="K24" s="25"/>
      <c r="L24" s="25"/>
      <c r="M24" s="25"/>
      <c r="N24" s="25"/>
      <c r="O24" s="25"/>
      <c r="P24" s="25"/>
      <c r="Q24" s="25"/>
    </row>
    <row r="25" spans="1:17" ht="15.75">
      <c r="A25" s="53"/>
      <c r="B25" s="25"/>
      <c r="C25" s="25"/>
      <c r="D25" s="25"/>
      <c r="E25" s="25"/>
      <c r="F25" s="25"/>
      <c r="G25" s="25"/>
      <c r="H25" s="25"/>
      <c r="I25" s="25"/>
      <c r="J25" s="54"/>
      <c r="K25" s="25"/>
      <c r="L25" s="25"/>
      <c r="M25" s="25"/>
      <c r="N25" s="25"/>
      <c r="O25" s="25"/>
      <c r="P25" s="25"/>
      <c r="Q25" s="25"/>
    </row>
  </sheetData>
  <mergeCells count="2">
    <mergeCell ref="E9:H9"/>
    <mergeCell ref="A7:K7"/>
  </mergeCells>
  <pageMargins left="0.78740157480314965" right="0.39370078740157483" top="0.39370078740157483" bottom="0.39370078740157483" header="0.19685039370078741" footer="0.19685039370078741"/>
  <pageSetup scale="91" fitToHeight="2"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11</vt:i4>
      </vt:variant>
    </vt:vector>
  </HeadingPairs>
  <TitlesOfParts>
    <vt:vector size="22"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8</vt:lpstr>
      <vt:lpstr>Приложение 9</vt:lpstr>
      <vt:lpstr>Приложение 10</vt:lpstr>
      <vt:lpstr>Приложение 11</vt:lpstr>
      <vt:lpstr>'Приложение 4'!Заголовки_для_печати</vt:lpstr>
      <vt:lpstr>'Приложение 9'!Заголовки_для_печати</vt:lpstr>
      <vt:lpstr>'Приложение 1'!Область_печати</vt:lpstr>
      <vt:lpstr>'Приложение 10'!Область_печати</vt:lpstr>
      <vt:lpstr>'Приложение 11'!Область_печати</vt:lpstr>
      <vt:lpstr>'Приложение 2'!Область_печати</vt:lpstr>
      <vt:lpstr>'Приложение 3'!Область_печати</vt:lpstr>
      <vt:lpstr>'Приложение 5'!Область_печати</vt:lpstr>
      <vt:lpstr>'Приложение 6'!Область_печати</vt:lpstr>
      <vt:lpstr>'Приложение 8'!Область_печати</vt:lpstr>
      <vt:lpstr>'Приложение 9'!Область_печати</vt:lpstr>
    </vt:vector>
  </TitlesOfParts>
  <Company>asfr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gena</dc:creator>
  <cp:lastModifiedBy>Алёна Викторовна</cp:lastModifiedBy>
  <cp:lastPrinted>2019-02-21T09:54:19Z</cp:lastPrinted>
  <dcterms:created xsi:type="dcterms:W3CDTF">2002-06-04T10:05:56Z</dcterms:created>
  <dcterms:modified xsi:type="dcterms:W3CDTF">2022-01-25T17:24:26Z</dcterms:modified>
</cp:coreProperties>
</file>