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defaultThemeVersion="124226"/>
  <mc:AlternateContent xmlns:mc="http://schemas.openxmlformats.org/markup-compatibility/2006">
    <mc:Choice Requires="x15">
      <x15ac:absPath xmlns:x15ac="http://schemas.microsoft.com/office/spreadsheetml/2010/11/ac" url="E:\Отчет за 2021 год\Приложение 1_Решение\"/>
    </mc:Choice>
  </mc:AlternateContent>
  <xr:revisionPtr revIDLastSave="0" documentId="13_ncr:1_{322ED4D1-B1DD-410A-B1DC-EF27143F55C4}" xr6:coauthVersionLast="47" xr6:coauthVersionMax="47" xr10:uidLastSave="{00000000-0000-0000-0000-000000000000}"/>
  <bookViews>
    <workbookView xWindow="-108" yWindow="-108" windowWidth="23256" windowHeight="12576" tabRatio="774" activeTab="3" xr2:uid="{00000000-000D-0000-FFFF-FFFF00000000}"/>
  </bookViews>
  <sheets>
    <sheet name="Прил 1" sheetId="95" r:id="rId1"/>
    <sheet name="Прил 2" sheetId="97" r:id="rId2"/>
    <sheet name="Прил 3" sheetId="98" r:id="rId3"/>
    <sheet name="Прил 4" sheetId="105" r:id="rId4"/>
    <sheet name="Прил 5" sheetId="90" r:id="rId5"/>
    <sheet name="Прил 6" sheetId="92" r:id="rId6"/>
    <sheet name="Прил 7" sheetId="94" r:id="rId7"/>
    <sheet name="Прил 8" sheetId="102" r:id="rId8"/>
    <sheet name="Прил 9" sheetId="103" r:id="rId9"/>
    <sheet name="Прил 10" sheetId="107" r:id="rId10"/>
    <sheet name="Прил 11" sheetId="104" r:id="rId11"/>
    <sheet name="Прил 12" sheetId="106" r:id="rId12"/>
  </sheets>
  <definedNames>
    <definedName name="__bookmark_1" localSheetId="5">'Прил 6'!$A$11:$J$439</definedName>
    <definedName name="__bookmark_1" localSheetId="6">'Прил 7'!$A$11:$I$170</definedName>
    <definedName name="__bookmark_1" localSheetId="7">'Прил 8'!$A$11:$I$25</definedName>
    <definedName name="__bookmark_1" localSheetId="8">'Прил 9'!$A$12:$D$15</definedName>
    <definedName name="__bookmark_1">'Прил 5'!$A$11:$I$427</definedName>
    <definedName name="_xlnm._FilterDatabase" localSheetId="5" hidden="1">'Прил 6'!$A$12:$J$12</definedName>
    <definedName name="_xlnm.Print_Titles" localSheetId="0">'Прил 1'!$11:$11</definedName>
    <definedName name="_xlnm.Print_Titles" localSheetId="10">'Прил 11'!$10:$10</definedName>
    <definedName name="_xlnm.Print_Titles" localSheetId="1">'Прил 2'!$11:$11</definedName>
    <definedName name="_xlnm.Print_Titles" localSheetId="3">'Прил 4'!$10:$10</definedName>
    <definedName name="_xlnm.Print_Titles" localSheetId="4">'Прил 5'!$11:$12</definedName>
    <definedName name="_xlnm.Print_Titles" localSheetId="5">'Прил 6'!$11:$11</definedName>
    <definedName name="_xlnm.Print_Titles" localSheetId="6">'Прил 7'!$11:$11</definedName>
    <definedName name="_xlnm.Print_Titles" localSheetId="7">'Прил 8'!$11:$12</definedName>
    <definedName name="_xlnm.Print_Titles" localSheetId="8">'Прил 9'!$12:$12</definedName>
    <definedName name="_xlnm.Print_Area" localSheetId="0">'Прил 1'!$A$1:$E$42</definedName>
    <definedName name="_xlnm.Print_Area" localSheetId="9">'Прил 10'!$A$1:$F$28</definedName>
    <definedName name="_xlnm.Print_Area" localSheetId="10">'Прил 11'!$A$1:$E$20</definedName>
    <definedName name="_xlnm.Print_Area" localSheetId="11">'Прил 12'!$A$1:$J$29</definedName>
    <definedName name="_xlnm.Print_Area" localSheetId="1">'Прил 2'!$A$1:$E$78</definedName>
    <definedName name="_xlnm.Print_Area" localSheetId="2">'Прил 3'!$A$1:$E$53</definedName>
    <definedName name="_xlnm.Print_Area" localSheetId="3">'Прил 4'!$A$1:$F$43</definedName>
    <definedName name="_xlnm.Print_Area" localSheetId="4">'Прил 5'!$A$1:$K$427</definedName>
    <definedName name="_xlnm.Print_Area" localSheetId="5">'Прил 6'!$A$1:$L$439</definedName>
    <definedName name="_xlnm.Print_Area" localSheetId="8">'Прил 9'!$A$1:$D$15</definedName>
    <definedName name="ОбластьИмпорта" localSheetId="0">'Прил 1'!#REF!</definedName>
    <definedName name="ОбластьИмпорта" localSheetId="1">'Прил 2'!#REF!</definedName>
    <definedName name="ОбластьИмпорта" localSheetId="2">'Прил 3'!#REF!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07" i="90" l="1"/>
  <c r="I206" i="90" s="1"/>
  <c r="J207" i="90"/>
  <c r="J206" i="90" s="1"/>
  <c r="I209" i="90"/>
  <c r="I208" i="90" s="1"/>
  <c r="J209" i="90"/>
  <c r="J208" i="90" s="1"/>
  <c r="I210" i="90"/>
  <c r="J210" i="90"/>
  <c r="K199" i="90"/>
  <c r="K200" i="90"/>
  <c r="K201" i="90"/>
  <c r="K202" i="90"/>
  <c r="G12" i="105"/>
  <c r="G13" i="105"/>
  <c r="G14" i="105"/>
  <c r="G15" i="105"/>
  <c r="G16" i="105"/>
  <c r="G17" i="105"/>
  <c r="G18" i="105"/>
  <c r="G19" i="105"/>
  <c r="G20" i="105"/>
  <c r="G21" i="105"/>
  <c r="G22" i="105"/>
  <c r="G23" i="105"/>
  <c r="G24" i="105"/>
  <c r="G25" i="105"/>
  <c r="G26" i="105"/>
  <c r="G27" i="105"/>
  <c r="G28" i="105"/>
  <c r="G29" i="105"/>
  <c r="G30" i="105"/>
  <c r="G31" i="105"/>
  <c r="G32" i="105"/>
  <c r="G33" i="105"/>
  <c r="G34" i="105"/>
  <c r="G35" i="105"/>
  <c r="G36" i="105"/>
  <c r="G37" i="105"/>
  <c r="G38" i="105"/>
  <c r="G39" i="105"/>
  <c r="G40" i="105"/>
  <c r="G41" i="105"/>
  <c r="G42" i="105"/>
  <c r="G43" i="105"/>
  <c r="G11" i="105"/>
  <c r="D11" i="105"/>
  <c r="G13" i="95" l="1"/>
  <c r="G14" i="95"/>
  <c r="G15" i="95"/>
  <c r="G16" i="95"/>
  <c r="G17" i="95"/>
  <c r="G18" i="95"/>
  <c r="G19" i="95"/>
  <c r="G20" i="95"/>
  <c r="G21" i="95"/>
  <c r="G22" i="95"/>
  <c r="G23" i="95"/>
  <c r="G24" i="95"/>
  <c r="G25" i="95"/>
  <c r="G26" i="95"/>
  <c r="G27" i="95"/>
  <c r="G28" i="95"/>
  <c r="G29" i="95"/>
  <c r="G30" i="95"/>
  <c r="G31" i="95"/>
  <c r="G32" i="95"/>
  <c r="G33" i="95"/>
  <c r="G34" i="95"/>
  <c r="G35" i="95"/>
  <c r="G36" i="95"/>
  <c r="G37" i="95"/>
  <c r="G38" i="95"/>
  <c r="G39" i="95"/>
  <c r="G40" i="95"/>
  <c r="G41" i="95"/>
  <c r="G42" i="95"/>
  <c r="G12" i="95"/>
  <c r="D77" i="97"/>
  <c r="D40" i="95"/>
  <c r="K57" i="94"/>
  <c r="D17" i="107" l="1"/>
  <c r="E15" i="107"/>
  <c r="F15" i="107"/>
  <c r="E17" i="107"/>
  <c r="F17" i="107"/>
  <c r="D15" i="107"/>
  <c r="D14" i="107" s="1"/>
  <c r="E14" i="107" l="1"/>
  <c r="F14" i="107"/>
  <c r="C14" i="103" l="1"/>
  <c r="B14" i="103"/>
  <c r="J28" i="106" l="1"/>
  <c r="I28" i="106"/>
  <c r="H28" i="106"/>
  <c r="F28" i="106"/>
  <c r="D28" i="106"/>
  <c r="B28" i="106"/>
  <c r="J19" i="106"/>
  <c r="I19" i="106"/>
  <c r="H19" i="106"/>
  <c r="F19" i="106"/>
  <c r="D19" i="106"/>
  <c r="B19" i="106"/>
  <c r="C13" i="103"/>
  <c r="C15" i="103" s="1"/>
  <c r="B15" i="103"/>
  <c r="J325" i="92" l="1"/>
  <c r="J324" i="92" s="1"/>
  <c r="K325" i="92"/>
  <c r="K324" i="92" s="1"/>
  <c r="K323" i="92" s="1"/>
  <c r="K322" i="92" s="1"/>
  <c r="K321" i="92" s="1"/>
  <c r="L325" i="92"/>
  <c r="L324" i="92" s="1"/>
  <c r="L323" i="92" s="1"/>
  <c r="L322" i="92" s="1"/>
  <c r="L321" i="92" s="1"/>
  <c r="M326" i="92"/>
  <c r="K430" i="92"/>
  <c r="K381" i="92"/>
  <c r="K378" i="92"/>
  <c r="K356" i="92"/>
  <c r="K353" i="92"/>
  <c r="K346" i="92"/>
  <c r="K345" i="92"/>
  <c r="K344" i="92"/>
  <c r="K338" i="92"/>
  <c r="K308" i="92"/>
  <c r="K307" i="92"/>
  <c r="K146" i="92"/>
  <c r="K70" i="92"/>
  <c r="K68" i="92"/>
  <c r="K66" i="92"/>
  <c r="M325" i="92" l="1"/>
  <c r="M324" i="92"/>
  <c r="J323" i="92"/>
  <c r="E18" i="105"/>
  <c r="E17" i="105" s="1"/>
  <c r="D18" i="105"/>
  <c r="D17" i="105" s="1"/>
  <c r="J322" i="92" l="1"/>
  <c r="M323" i="92"/>
  <c r="D47" i="98"/>
  <c r="E47" i="98"/>
  <c r="D48" i="98"/>
  <c r="E48" i="98"/>
  <c r="D17" i="98"/>
  <c r="E17" i="98"/>
  <c r="E18" i="98"/>
  <c r="E19" i="98"/>
  <c r="D20" i="98"/>
  <c r="E20" i="98"/>
  <c r="D21" i="98"/>
  <c r="E21" i="98"/>
  <c r="C21" i="98"/>
  <c r="C19" i="98"/>
  <c r="C18" i="98"/>
  <c r="C17" i="98"/>
  <c r="E16" i="98"/>
  <c r="C16" i="98"/>
  <c r="E15" i="98"/>
  <c r="C15" i="98"/>
  <c r="E14" i="98"/>
  <c r="C14" i="98"/>
  <c r="J384" i="90"/>
  <c r="J385" i="90"/>
  <c r="K385" i="90"/>
  <c r="I385" i="90"/>
  <c r="I384" i="90"/>
  <c r="J18" i="102"/>
  <c r="J17" i="102" s="1"/>
  <c r="J16" i="102" s="1"/>
  <c r="J15" i="102" s="1"/>
  <c r="J14" i="102" s="1"/>
  <c r="J13" i="102" s="1"/>
  <c r="K18" i="102"/>
  <c r="K17" i="102" s="1"/>
  <c r="K16" i="102" s="1"/>
  <c r="K15" i="102" s="1"/>
  <c r="K14" i="102" s="1"/>
  <c r="K13" i="102" s="1"/>
  <c r="J24" i="102"/>
  <c r="J23" i="102" s="1"/>
  <c r="J22" i="102" s="1"/>
  <c r="J21" i="102" s="1"/>
  <c r="J20" i="102" s="1"/>
  <c r="J19" i="102" s="1"/>
  <c r="K24" i="102"/>
  <c r="K23" i="102" s="1"/>
  <c r="K22" i="102" s="1"/>
  <c r="K21" i="102" s="1"/>
  <c r="K20" i="102" s="1"/>
  <c r="K19" i="102" s="1"/>
  <c r="J14" i="94"/>
  <c r="K14" i="94"/>
  <c r="J16" i="94"/>
  <c r="J17" i="94"/>
  <c r="J19" i="94"/>
  <c r="J18" i="94" s="1"/>
  <c r="K19" i="94"/>
  <c r="K18" i="94" s="1"/>
  <c r="J22" i="94"/>
  <c r="K22" i="94"/>
  <c r="J23" i="94"/>
  <c r="K23" i="94"/>
  <c r="J24" i="94"/>
  <c r="K24" i="94"/>
  <c r="J30" i="94"/>
  <c r="J31" i="94"/>
  <c r="K31" i="94"/>
  <c r="J33" i="94"/>
  <c r="J32" i="94" s="1"/>
  <c r="J35" i="94"/>
  <c r="J34" i="94" s="1"/>
  <c r="J36" i="94"/>
  <c r="K36" i="94"/>
  <c r="J39" i="94"/>
  <c r="K39" i="94"/>
  <c r="J40" i="94"/>
  <c r="K40" i="94"/>
  <c r="J41" i="94"/>
  <c r="K41" i="94"/>
  <c r="J42" i="94"/>
  <c r="K42" i="94"/>
  <c r="J43" i="94"/>
  <c r="K43" i="94"/>
  <c r="J44" i="94"/>
  <c r="K44" i="94"/>
  <c r="J45" i="94"/>
  <c r="K45" i="94"/>
  <c r="J46" i="94"/>
  <c r="K46" i="94"/>
  <c r="J47" i="94"/>
  <c r="K47" i="94"/>
  <c r="J49" i="94"/>
  <c r="K49" i="94"/>
  <c r="J50" i="94"/>
  <c r="K50" i="94"/>
  <c r="J53" i="94"/>
  <c r="K53" i="94"/>
  <c r="K52" i="94" s="1"/>
  <c r="J54" i="94"/>
  <c r="K54" i="94"/>
  <c r="J55" i="94"/>
  <c r="K55" i="94"/>
  <c r="J56" i="94"/>
  <c r="K56" i="94"/>
  <c r="J57" i="94"/>
  <c r="J58" i="94"/>
  <c r="K58" i="94"/>
  <c r="J59" i="94"/>
  <c r="K59" i="94"/>
  <c r="J60" i="94"/>
  <c r="K60" i="94"/>
  <c r="J61" i="94"/>
  <c r="K61" i="94"/>
  <c r="J62" i="94"/>
  <c r="K62" i="94"/>
  <c r="J63" i="94"/>
  <c r="K63" i="94"/>
  <c r="J64" i="94"/>
  <c r="K64" i="94"/>
  <c r="J65" i="94"/>
  <c r="K65" i="94"/>
  <c r="J66" i="94"/>
  <c r="K66" i="94"/>
  <c r="J68" i="94"/>
  <c r="J69" i="94"/>
  <c r="J70" i="94"/>
  <c r="K70" i="94"/>
  <c r="J72" i="94"/>
  <c r="K72" i="94"/>
  <c r="J73" i="94"/>
  <c r="K73" i="94"/>
  <c r="J76" i="94"/>
  <c r="J75" i="94" s="1"/>
  <c r="K76" i="94"/>
  <c r="K75" i="94" s="1"/>
  <c r="J79" i="94"/>
  <c r="K79" i="94"/>
  <c r="J81" i="94"/>
  <c r="K81" i="94"/>
  <c r="J82" i="94"/>
  <c r="K82" i="94"/>
  <c r="J84" i="94"/>
  <c r="J83" i="94" s="1"/>
  <c r="K84" i="94"/>
  <c r="K83" i="94" s="1"/>
  <c r="J88" i="94"/>
  <c r="J87" i="94"/>
  <c r="K87" i="94"/>
  <c r="J90" i="94"/>
  <c r="J91" i="94"/>
  <c r="J92" i="94"/>
  <c r="J94" i="94"/>
  <c r="K94" i="94"/>
  <c r="J93" i="94"/>
  <c r="K93" i="94"/>
  <c r="J96" i="94"/>
  <c r="J95" i="94" s="1"/>
  <c r="J98" i="94"/>
  <c r="K98" i="94"/>
  <c r="J99" i="94"/>
  <c r="K99" i="94"/>
  <c r="J100" i="94"/>
  <c r="K100" i="94"/>
  <c r="J102" i="94"/>
  <c r="K102" i="94"/>
  <c r="J104" i="94"/>
  <c r="K104" i="94"/>
  <c r="J105" i="94"/>
  <c r="K105" i="94"/>
  <c r="J107" i="94"/>
  <c r="J106" i="94" s="1"/>
  <c r="J111" i="94"/>
  <c r="J110" i="94" s="1"/>
  <c r="K111" i="94"/>
  <c r="K110" i="94" s="1"/>
  <c r="J113" i="94"/>
  <c r="J112" i="94" s="1"/>
  <c r="K113" i="94"/>
  <c r="K112" i="94" s="1"/>
  <c r="J115" i="94"/>
  <c r="J114" i="94" s="1"/>
  <c r="K115" i="94"/>
  <c r="K114" i="94" s="1"/>
  <c r="J117" i="94"/>
  <c r="J116" i="94" s="1"/>
  <c r="K117" i="94"/>
  <c r="K116" i="94" s="1"/>
  <c r="J119" i="94"/>
  <c r="J118" i="94" s="1"/>
  <c r="K119" i="94"/>
  <c r="K118" i="94" s="1"/>
  <c r="J121" i="94"/>
  <c r="J120" i="94" s="1"/>
  <c r="K121" i="94"/>
  <c r="K120" i="94" s="1"/>
  <c r="J124" i="94"/>
  <c r="J123" i="94" s="1"/>
  <c r="K124" i="94"/>
  <c r="K123" i="94" s="1"/>
  <c r="J126" i="94"/>
  <c r="J125" i="94" s="1"/>
  <c r="K126" i="94"/>
  <c r="K125" i="94" s="1"/>
  <c r="J128" i="94"/>
  <c r="J127" i="94" s="1"/>
  <c r="K128" i="94"/>
  <c r="K127" i="94" s="1"/>
  <c r="J131" i="94"/>
  <c r="J130" i="94" s="1"/>
  <c r="K131" i="94"/>
  <c r="K130" i="94" s="1"/>
  <c r="J133" i="94"/>
  <c r="J132" i="94" s="1"/>
  <c r="K133" i="94"/>
  <c r="K132" i="94" s="1"/>
  <c r="J136" i="94"/>
  <c r="K136" i="94"/>
  <c r="J137" i="94"/>
  <c r="K137" i="94"/>
  <c r="J138" i="94"/>
  <c r="K138" i="94"/>
  <c r="J139" i="94"/>
  <c r="K139" i="94"/>
  <c r="J141" i="94"/>
  <c r="J140" i="94" s="1"/>
  <c r="K141" i="94"/>
  <c r="K140" i="94" s="1"/>
  <c r="J144" i="94"/>
  <c r="K144" i="94"/>
  <c r="J148" i="94"/>
  <c r="K148" i="94"/>
  <c r="J149" i="94"/>
  <c r="K149" i="94"/>
  <c r="J150" i="94"/>
  <c r="K150" i="94"/>
  <c r="J152" i="94"/>
  <c r="K152" i="94"/>
  <c r="J155" i="94"/>
  <c r="J154" i="94" s="1"/>
  <c r="K155" i="94"/>
  <c r="K154" i="94" s="1"/>
  <c r="J157" i="94"/>
  <c r="J156" i="94" s="1"/>
  <c r="K157" i="94"/>
  <c r="K156" i="94" s="1"/>
  <c r="J159" i="94"/>
  <c r="J158" i="94" s="1"/>
  <c r="K159" i="94"/>
  <c r="K158" i="94" s="1"/>
  <c r="J161" i="94"/>
  <c r="J160" i="94" s="1"/>
  <c r="K161" i="94"/>
  <c r="K160" i="94" s="1"/>
  <c r="J165" i="94"/>
  <c r="J164" i="94" s="1"/>
  <c r="K165" i="94"/>
  <c r="K164" i="94" s="1"/>
  <c r="J167" i="94"/>
  <c r="J166" i="94" s="1"/>
  <c r="K167" i="94"/>
  <c r="K166" i="94" s="1"/>
  <c r="J169" i="94"/>
  <c r="J168" i="94" s="1"/>
  <c r="K169" i="94"/>
  <c r="K168" i="94" s="1"/>
  <c r="L66" i="92"/>
  <c r="K72" i="90" s="1"/>
  <c r="K71" i="90" s="1"/>
  <c r="M18" i="92"/>
  <c r="M35" i="92"/>
  <c r="M36" i="92"/>
  <c r="M37" i="92"/>
  <c r="M39" i="92"/>
  <c r="M41" i="92"/>
  <c r="M43" i="92"/>
  <c r="M45" i="92"/>
  <c r="M50" i="92"/>
  <c r="M54" i="92"/>
  <c r="M81" i="92"/>
  <c r="M87" i="92"/>
  <c r="M90" i="92"/>
  <c r="M100" i="92"/>
  <c r="M112" i="92"/>
  <c r="M116" i="92"/>
  <c r="M119" i="92"/>
  <c r="M122" i="92"/>
  <c r="M125" i="92"/>
  <c r="M128" i="92"/>
  <c r="M133" i="92"/>
  <c r="M134" i="92"/>
  <c r="M140" i="92"/>
  <c r="M147" i="92"/>
  <c r="M153" i="92"/>
  <c r="M155" i="92"/>
  <c r="M157" i="92"/>
  <c r="M169" i="92"/>
  <c r="M173" i="92"/>
  <c r="M180" i="92"/>
  <c r="M187" i="92"/>
  <c r="M191" i="92"/>
  <c r="M200" i="92"/>
  <c r="M202" i="92"/>
  <c r="M210" i="92"/>
  <c r="M217" i="92"/>
  <c r="M221" i="92"/>
  <c r="M223" i="92"/>
  <c r="M232" i="92"/>
  <c r="M234" i="92"/>
  <c r="M247" i="92"/>
  <c r="M256" i="92"/>
  <c r="M264" i="92"/>
  <c r="M271" i="92"/>
  <c r="M273" i="92"/>
  <c r="M275" i="92"/>
  <c r="M279" i="92"/>
  <c r="M281" i="92"/>
  <c r="M283" i="92"/>
  <c r="M287" i="92"/>
  <c r="M292" i="92"/>
  <c r="M295" i="92"/>
  <c r="M309" i="92"/>
  <c r="M320" i="92"/>
  <c r="M348" i="92"/>
  <c r="M350" i="92"/>
  <c r="M358" i="92"/>
  <c r="M366" i="92"/>
  <c r="M374" i="92"/>
  <c r="M379" i="92"/>
  <c r="M382" i="92"/>
  <c r="M387" i="92"/>
  <c r="M397" i="92"/>
  <c r="M411" i="92"/>
  <c r="M415" i="92"/>
  <c r="M417" i="92"/>
  <c r="M432" i="92"/>
  <c r="M433" i="92"/>
  <c r="M438" i="92"/>
  <c r="L430" i="92"/>
  <c r="K18" i="90" s="1"/>
  <c r="L381" i="92"/>
  <c r="L380" i="92" s="1"/>
  <c r="K380" i="92"/>
  <c r="J380" i="92"/>
  <c r="L378" i="92"/>
  <c r="M378" i="92" s="1"/>
  <c r="L356" i="92"/>
  <c r="K107" i="94" s="1"/>
  <c r="K106" i="94" s="1"/>
  <c r="L353" i="92"/>
  <c r="L346" i="92"/>
  <c r="K92" i="94" s="1"/>
  <c r="L345" i="92"/>
  <c r="L344" i="92"/>
  <c r="L338" i="92"/>
  <c r="L308" i="92"/>
  <c r="L307" i="92"/>
  <c r="K310" i="90" s="1"/>
  <c r="L280" i="92"/>
  <c r="L183" i="92"/>
  <c r="K186" i="90" s="1"/>
  <c r="K185" i="90" s="1"/>
  <c r="K184" i="90" s="1"/>
  <c r="L178" i="92"/>
  <c r="L167" i="92"/>
  <c r="K30" i="94" s="1"/>
  <c r="L146" i="92"/>
  <c r="F18" i="105" s="1"/>
  <c r="F17" i="105" s="1"/>
  <c r="L70" i="92"/>
  <c r="L68" i="92"/>
  <c r="K74" i="90" s="1"/>
  <c r="K73" i="90" s="1"/>
  <c r="K50" i="92"/>
  <c r="J56" i="90" s="1"/>
  <c r="J55" i="90" s="1"/>
  <c r="J54" i="90" s="1"/>
  <c r="J53" i="90" s="1"/>
  <c r="J52" i="90" s="1"/>
  <c r="K45" i="92"/>
  <c r="J51" i="90" s="1"/>
  <c r="J50" i="90" s="1"/>
  <c r="K43" i="92"/>
  <c r="J49" i="90" s="1"/>
  <c r="J48" i="90" s="1"/>
  <c r="K41" i="92"/>
  <c r="J47" i="90" s="1"/>
  <c r="J46" i="90" s="1"/>
  <c r="K39" i="92"/>
  <c r="J45" i="90" s="1"/>
  <c r="J44" i="90" s="1"/>
  <c r="L31" i="92"/>
  <c r="K39" i="90" s="1"/>
  <c r="L29" i="92"/>
  <c r="K37" i="90" s="1"/>
  <c r="L28" i="92"/>
  <c r="K36" i="90" s="1"/>
  <c r="L25" i="92"/>
  <c r="K33" i="90" s="1"/>
  <c r="K32" i="90" s="1"/>
  <c r="L22" i="92"/>
  <c r="K22" i="92"/>
  <c r="J30" i="90" s="1"/>
  <c r="J29" i="90" s="1"/>
  <c r="J28" i="90" s="1"/>
  <c r="J426" i="90"/>
  <c r="J425" i="90" s="1"/>
  <c r="J424" i="90" s="1"/>
  <c r="J423" i="90" s="1"/>
  <c r="J422" i="90" s="1"/>
  <c r="J421" i="90" s="1"/>
  <c r="J18" i="90"/>
  <c r="J21" i="90"/>
  <c r="J19" i="90" s="1"/>
  <c r="K21" i="90"/>
  <c r="K19" i="90" s="1"/>
  <c r="J26" i="90"/>
  <c r="J25" i="90" s="1"/>
  <c r="J24" i="90" s="1"/>
  <c r="J23" i="90" s="1"/>
  <c r="K26" i="90"/>
  <c r="K25" i="90" s="1"/>
  <c r="K24" i="90" s="1"/>
  <c r="K23" i="90" s="1"/>
  <c r="K35" i="90"/>
  <c r="K40" i="90"/>
  <c r="K45" i="90"/>
  <c r="K44" i="90" s="1"/>
  <c r="K47" i="90"/>
  <c r="K46" i="90" s="1"/>
  <c r="K49" i="90"/>
  <c r="K48" i="90" s="1"/>
  <c r="K51" i="90"/>
  <c r="K50" i="90" s="1"/>
  <c r="K56" i="90"/>
  <c r="K55" i="90" s="1"/>
  <c r="K54" i="90" s="1"/>
  <c r="K53" i="90" s="1"/>
  <c r="K52" i="90" s="1"/>
  <c r="J59" i="90"/>
  <c r="J58" i="90" s="1"/>
  <c r="J57" i="90" s="1"/>
  <c r="K59" i="90"/>
  <c r="K58" i="90" s="1"/>
  <c r="K57" i="90" s="1"/>
  <c r="K65" i="90"/>
  <c r="K64" i="90" s="1"/>
  <c r="K63" i="90" s="1"/>
  <c r="K62" i="90" s="1"/>
  <c r="K61" i="90" s="1"/>
  <c r="J70" i="90"/>
  <c r="J69" i="90" s="1"/>
  <c r="K70" i="90"/>
  <c r="K69" i="90" s="1"/>
  <c r="J72" i="90"/>
  <c r="J71" i="90" s="1"/>
  <c r="J74" i="90"/>
  <c r="J73" i="90" s="1"/>
  <c r="J76" i="90"/>
  <c r="J75" i="90" s="1"/>
  <c r="J79" i="90"/>
  <c r="J78" i="90" s="1"/>
  <c r="J77" i="90" s="1"/>
  <c r="K79" i="90"/>
  <c r="K78" i="90" s="1"/>
  <c r="K77" i="90" s="1"/>
  <c r="J84" i="90"/>
  <c r="J83" i="90" s="1"/>
  <c r="J82" i="90" s="1"/>
  <c r="K84" i="90"/>
  <c r="K83" i="90" s="1"/>
  <c r="K82" i="90" s="1"/>
  <c r="J87" i="90"/>
  <c r="J86" i="90" s="1"/>
  <c r="J85" i="90" s="1"/>
  <c r="K87" i="90"/>
  <c r="K86" i="90" s="1"/>
  <c r="K85" i="90" s="1"/>
  <c r="J90" i="90"/>
  <c r="J89" i="90" s="1"/>
  <c r="J88" i="90" s="1"/>
  <c r="K90" i="90"/>
  <c r="K89" i="90" s="1"/>
  <c r="K88" i="90" s="1"/>
  <c r="J93" i="90"/>
  <c r="J92" i="90" s="1"/>
  <c r="J91" i="90" s="1"/>
  <c r="K93" i="90"/>
  <c r="K92" i="90" s="1"/>
  <c r="K91" i="90" s="1"/>
  <c r="J96" i="90"/>
  <c r="J95" i="90" s="1"/>
  <c r="J94" i="90" s="1"/>
  <c r="K96" i="90"/>
  <c r="K95" i="90" s="1"/>
  <c r="K94" i="90" s="1"/>
  <c r="J99" i="90"/>
  <c r="J98" i="90" s="1"/>
  <c r="J97" i="90" s="1"/>
  <c r="K99" i="90"/>
  <c r="K98" i="90" s="1"/>
  <c r="K97" i="90" s="1"/>
  <c r="J104" i="90"/>
  <c r="K104" i="90"/>
  <c r="J106" i="90"/>
  <c r="J105" i="90" s="1"/>
  <c r="K106" i="90"/>
  <c r="K105" i="90" s="1"/>
  <c r="J108" i="90"/>
  <c r="J107" i="90" s="1"/>
  <c r="K108" i="90"/>
  <c r="K107" i="90" s="1"/>
  <c r="J110" i="90"/>
  <c r="J109" i="90" s="1"/>
  <c r="K110" i="90"/>
  <c r="K109" i="90" s="1"/>
  <c r="J114" i="90"/>
  <c r="J113" i="90" s="1"/>
  <c r="J112" i="90" s="1"/>
  <c r="J111" i="90" s="1"/>
  <c r="K114" i="90"/>
  <c r="K113" i="90" s="1"/>
  <c r="K112" i="90" s="1"/>
  <c r="K111" i="90" s="1"/>
  <c r="J118" i="90"/>
  <c r="J117" i="90" s="1"/>
  <c r="J116" i="90" s="1"/>
  <c r="J115" i="90" s="1"/>
  <c r="K118" i="90"/>
  <c r="K117" i="90" s="1"/>
  <c r="K116" i="90" s="1"/>
  <c r="K115" i="90" s="1"/>
  <c r="J122" i="90"/>
  <c r="J121" i="90" s="1"/>
  <c r="J120" i="90" s="1"/>
  <c r="K122" i="90"/>
  <c r="K121" i="90" s="1"/>
  <c r="K120" i="90" s="1"/>
  <c r="J124" i="90"/>
  <c r="J123" i="90" s="1"/>
  <c r="K124" i="90"/>
  <c r="K123" i="90" s="1"/>
  <c r="J126" i="90"/>
  <c r="K126" i="90"/>
  <c r="J131" i="90"/>
  <c r="J130" i="90" s="1"/>
  <c r="J129" i="90" s="1"/>
  <c r="J128" i="90" s="1"/>
  <c r="K131" i="90"/>
  <c r="K130" i="90" s="1"/>
  <c r="K129" i="90" s="1"/>
  <c r="K128" i="90" s="1"/>
  <c r="J135" i="90"/>
  <c r="K135" i="90"/>
  <c r="J136" i="90"/>
  <c r="K136" i="90"/>
  <c r="J141" i="90"/>
  <c r="J140" i="90" s="1"/>
  <c r="K141" i="90"/>
  <c r="K140" i="90" s="1"/>
  <c r="J143" i="90"/>
  <c r="J142" i="90" s="1"/>
  <c r="K143" i="90"/>
  <c r="K142" i="90" s="1"/>
  <c r="J149" i="90"/>
  <c r="J148" i="90" s="1"/>
  <c r="J147" i="90" s="1"/>
  <c r="J146" i="90" s="1"/>
  <c r="J145" i="90" s="1"/>
  <c r="J144" i="90" s="1"/>
  <c r="J156" i="90"/>
  <c r="J155" i="90" s="1"/>
  <c r="K156" i="90"/>
  <c r="K155" i="90" s="1"/>
  <c r="J157" i="90"/>
  <c r="K157" i="90"/>
  <c r="J159" i="90"/>
  <c r="K159" i="90"/>
  <c r="J170" i="90"/>
  <c r="J169" i="90" s="1"/>
  <c r="J171" i="90"/>
  <c r="K171" i="90"/>
  <c r="J176" i="90"/>
  <c r="J175" i="90" s="1"/>
  <c r="J174" i="90" s="1"/>
  <c r="J173" i="90" s="1"/>
  <c r="K176" i="90"/>
  <c r="K175" i="90" s="1"/>
  <c r="K174" i="90" s="1"/>
  <c r="K173" i="90" s="1"/>
  <c r="J181" i="90"/>
  <c r="J180" i="90" s="1"/>
  <c r="J182" i="90"/>
  <c r="K182" i="90"/>
  <c r="J186" i="90"/>
  <c r="J185" i="90" s="1"/>
  <c r="J184" i="90" s="1"/>
  <c r="J190" i="90"/>
  <c r="J189" i="90" s="1"/>
  <c r="J188" i="90" s="1"/>
  <c r="J187" i="90" s="1"/>
  <c r="K190" i="90"/>
  <c r="K189" i="90" s="1"/>
  <c r="K188" i="90" s="1"/>
  <c r="K187" i="90" s="1"/>
  <c r="J193" i="90"/>
  <c r="J192" i="90" s="1"/>
  <c r="J191" i="90" s="1"/>
  <c r="K193" i="90"/>
  <c r="K192" i="90" s="1"/>
  <c r="K191" i="90" s="1"/>
  <c r="J200" i="90"/>
  <c r="J201" i="90"/>
  <c r="J202" i="90"/>
  <c r="J205" i="90"/>
  <c r="J204" i="90" s="1"/>
  <c r="K205" i="90"/>
  <c r="K204" i="90" s="1"/>
  <c r="K207" i="90"/>
  <c r="K206" i="90" s="1"/>
  <c r="K209" i="90"/>
  <c r="K208" i="90" s="1"/>
  <c r="J211" i="90"/>
  <c r="K211" i="90"/>
  <c r="K210" i="90" s="1"/>
  <c r="J212" i="90"/>
  <c r="K212" i="90"/>
  <c r="J215" i="90"/>
  <c r="J214" i="90" s="1"/>
  <c r="K215" i="90"/>
  <c r="K214" i="90" s="1"/>
  <c r="J220" i="90"/>
  <c r="J219" i="90" s="1"/>
  <c r="J218" i="90" s="1"/>
  <c r="J217" i="90" s="1"/>
  <c r="J216" i="90" s="1"/>
  <c r="K220" i="90"/>
  <c r="K219" i="90" s="1"/>
  <c r="K218" i="90" s="1"/>
  <c r="K217" i="90" s="1"/>
  <c r="K216" i="90" s="1"/>
  <c r="J223" i="90"/>
  <c r="K223" i="90"/>
  <c r="J226" i="90"/>
  <c r="J225" i="90" s="1"/>
  <c r="K226" i="90"/>
  <c r="K225" i="90" s="1"/>
  <c r="J232" i="90"/>
  <c r="J231" i="90" s="1"/>
  <c r="J230" i="90" s="1"/>
  <c r="K232" i="90"/>
  <c r="K231" i="90" s="1"/>
  <c r="K230" i="90" s="1"/>
  <c r="J234" i="90"/>
  <c r="K234" i="90"/>
  <c r="J236" i="90"/>
  <c r="K236" i="90"/>
  <c r="J240" i="90"/>
  <c r="J239" i="90" s="1"/>
  <c r="J238" i="90" s="1"/>
  <c r="K240" i="90"/>
  <c r="K239" i="90" s="1"/>
  <c r="K238" i="90" s="1"/>
  <c r="J244" i="90"/>
  <c r="J243" i="90" s="1"/>
  <c r="J242" i="90" s="1"/>
  <c r="J241" i="90" s="1"/>
  <c r="K244" i="90"/>
  <c r="K243" i="90" s="1"/>
  <c r="K242" i="90" s="1"/>
  <c r="K241" i="90" s="1"/>
  <c r="J250" i="90"/>
  <c r="K250" i="90"/>
  <c r="J254" i="90"/>
  <c r="J253" i="90" s="1"/>
  <c r="J252" i="90" s="1"/>
  <c r="J251" i="90" s="1"/>
  <c r="K254" i="90"/>
  <c r="K253" i="90" s="1"/>
  <c r="K252" i="90" s="1"/>
  <c r="K251" i="90" s="1"/>
  <c r="J259" i="90"/>
  <c r="J258" i="90" s="1"/>
  <c r="K259" i="90"/>
  <c r="K258" i="90" s="1"/>
  <c r="J261" i="90"/>
  <c r="J260" i="90" s="1"/>
  <c r="K261" i="90"/>
  <c r="K260" i="90" s="1"/>
  <c r="J263" i="90"/>
  <c r="J262" i="90" s="1"/>
  <c r="K263" i="90"/>
  <c r="K262" i="90" s="1"/>
  <c r="J266" i="90"/>
  <c r="J265" i="90" s="1"/>
  <c r="K266" i="90"/>
  <c r="K265" i="90" s="1"/>
  <c r="J269" i="90"/>
  <c r="J268" i="90" s="1"/>
  <c r="K269" i="90"/>
  <c r="K268" i="90" s="1"/>
  <c r="J271" i="90"/>
  <c r="J270" i="90" s="1"/>
  <c r="K271" i="90"/>
  <c r="K270" i="90" s="1"/>
  <c r="J273" i="90"/>
  <c r="K273" i="90"/>
  <c r="J274" i="90"/>
  <c r="K274" i="90"/>
  <c r="J275" i="90"/>
  <c r="K275" i="90"/>
  <c r="J278" i="90"/>
  <c r="J277" i="90" s="1"/>
  <c r="K278" i="90"/>
  <c r="K277" i="90" s="1"/>
  <c r="J280" i="90"/>
  <c r="J279" i="90" s="1"/>
  <c r="K280" i="90"/>
  <c r="K279" i="90" s="1"/>
  <c r="J282" i="90"/>
  <c r="J281" i="90" s="1"/>
  <c r="K282" i="90"/>
  <c r="K281" i="90" s="1"/>
  <c r="J284" i="90"/>
  <c r="J283" i="90" s="1"/>
  <c r="K284" i="90"/>
  <c r="K283" i="90" s="1"/>
  <c r="J285" i="90"/>
  <c r="K285" i="90"/>
  <c r="J288" i="90"/>
  <c r="J287" i="90" s="1"/>
  <c r="K288" i="90"/>
  <c r="K287" i="90" s="1"/>
  <c r="J289" i="90"/>
  <c r="K289" i="90"/>
  <c r="J294" i="90"/>
  <c r="J293" i="90" s="1"/>
  <c r="K294" i="90"/>
  <c r="K293" i="90" s="1"/>
  <c r="J297" i="90"/>
  <c r="J296" i="90" s="1"/>
  <c r="K297" i="90"/>
  <c r="K296" i="90" s="1"/>
  <c r="J301" i="90"/>
  <c r="J300" i="90" s="1"/>
  <c r="J299" i="90" s="1"/>
  <c r="K301" i="90"/>
  <c r="K300" i="90" s="1"/>
  <c r="K299" i="90" s="1"/>
  <c r="J305" i="90"/>
  <c r="J304" i="90" s="1"/>
  <c r="J303" i="90" s="1"/>
  <c r="J302" i="90" s="1"/>
  <c r="K305" i="90"/>
  <c r="K304" i="90" s="1"/>
  <c r="K303" i="90" s="1"/>
  <c r="K302" i="90" s="1"/>
  <c r="J310" i="90"/>
  <c r="J311" i="90"/>
  <c r="J312" i="90"/>
  <c r="K312" i="90"/>
  <c r="J317" i="90"/>
  <c r="J316" i="90" s="1"/>
  <c r="J315" i="90" s="1"/>
  <c r="K317" i="90"/>
  <c r="K316" i="90" s="1"/>
  <c r="K315" i="90" s="1"/>
  <c r="J320" i="90"/>
  <c r="J319" i="90" s="1"/>
  <c r="J318" i="90" s="1"/>
  <c r="K320" i="90"/>
  <c r="K319" i="90" s="1"/>
  <c r="K318" i="90" s="1"/>
  <c r="J323" i="90"/>
  <c r="J322" i="90" s="1"/>
  <c r="J321" i="90" s="1"/>
  <c r="K323" i="90"/>
  <c r="K322" i="90" s="1"/>
  <c r="K321" i="90" s="1"/>
  <c r="J328" i="90"/>
  <c r="J327" i="90" s="1"/>
  <c r="J326" i="90" s="1"/>
  <c r="J325" i="90" s="1"/>
  <c r="J324" i="90" s="1"/>
  <c r="K328" i="90"/>
  <c r="K327" i="90" s="1"/>
  <c r="K326" i="90" s="1"/>
  <c r="K325" i="90" s="1"/>
  <c r="K324" i="90" s="1"/>
  <c r="J334" i="90"/>
  <c r="J333" i="90" s="1"/>
  <c r="J332" i="90" s="1"/>
  <c r="J331" i="90" s="1"/>
  <c r="K334" i="90"/>
  <c r="K333" i="90" s="1"/>
  <c r="K332" i="90" s="1"/>
  <c r="K331" i="90" s="1"/>
  <c r="J341" i="90"/>
  <c r="J340" i="90" s="1"/>
  <c r="J339" i="90"/>
  <c r="J338" i="90" s="1"/>
  <c r="K339" i="90"/>
  <c r="K338" i="90" s="1"/>
  <c r="J347" i="90"/>
  <c r="J348" i="90"/>
  <c r="J349" i="90"/>
  <c r="K349" i="90"/>
  <c r="J353" i="90"/>
  <c r="J352" i="90" s="1"/>
  <c r="K353" i="90"/>
  <c r="K352" i="90" s="1"/>
  <c r="J351" i="90"/>
  <c r="J350" i="90" s="1"/>
  <c r="K351" i="90"/>
  <c r="K350" i="90" s="1"/>
  <c r="J356" i="90"/>
  <c r="J355" i="90" s="1"/>
  <c r="J354" i="90" s="1"/>
  <c r="J359" i="90"/>
  <c r="J358" i="90" s="1"/>
  <c r="J360" i="90"/>
  <c r="K360" i="90"/>
  <c r="J366" i="90"/>
  <c r="J365" i="90" s="1"/>
  <c r="K366" i="90"/>
  <c r="K365" i="90" s="1"/>
  <c r="J369" i="90"/>
  <c r="J368" i="90" s="1"/>
  <c r="J367" i="90" s="1"/>
  <c r="K369" i="90"/>
  <c r="K368" i="90" s="1"/>
  <c r="K367" i="90" s="1"/>
  <c r="J376" i="90"/>
  <c r="K376" i="90"/>
  <c r="J379" i="90"/>
  <c r="J378" i="90" s="1"/>
  <c r="K379" i="90"/>
  <c r="K378" i="90" s="1"/>
  <c r="J381" i="90"/>
  <c r="J382" i="90"/>
  <c r="K382" i="90"/>
  <c r="J390" i="90"/>
  <c r="J389" i="90" s="1"/>
  <c r="K390" i="90"/>
  <c r="K389" i="90" s="1"/>
  <c r="J392" i="90"/>
  <c r="J391" i="90" s="1"/>
  <c r="K392" i="90"/>
  <c r="K391" i="90" s="1"/>
  <c r="J394" i="90"/>
  <c r="J393" i="90" s="1"/>
  <c r="K394" i="90"/>
  <c r="K393" i="90" s="1"/>
  <c r="J399" i="90"/>
  <c r="J398" i="90" s="1"/>
  <c r="J397" i="90" s="1"/>
  <c r="K399" i="90"/>
  <c r="K398" i="90" s="1"/>
  <c r="K397" i="90" s="1"/>
  <c r="J404" i="90"/>
  <c r="J403" i="90" s="1"/>
  <c r="J402" i="90" s="1"/>
  <c r="J401" i="90" s="1"/>
  <c r="K404" i="90"/>
  <c r="K403" i="90" s="1"/>
  <c r="K402" i="90" s="1"/>
  <c r="K401" i="90" s="1"/>
  <c r="J408" i="90"/>
  <c r="J407" i="90" s="1"/>
  <c r="J406" i="90" s="1"/>
  <c r="J405" i="90" s="1"/>
  <c r="K408" i="90"/>
  <c r="K407" i="90" s="1"/>
  <c r="K406" i="90" s="1"/>
  <c r="K405" i="90" s="1"/>
  <c r="J414" i="90"/>
  <c r="J413" i="90" s="1"/>
  <c r="K414" i="90"/>
  <c r="K413" i="90" s="1"/>
  <c r="J416" i="90"/>
  <c r="J415" i="90" s="1"/>
  <c r="K416" i="90"/>
  <c r="K415" i="90" s="1"/>
  <c r="J418" i="90"/>
  <c r="J417" i="90" s="1"/>
  <c r="K418" i="90"/>
  <c r="K417" i="90" s="1"/>
  <c r="J420" i="90"/>
  <c r="J419" i="90" s="1"/>
  <c r="K420" i="90"/>
  <c r="K419" i="90" s="1"/>
  <c r="K426" i="90"/>
  <c r="K425" i="90" s="1"/>
  <c r="K424" i="90" s="1"/>
  <c r="K423" i="90" s="1"/>
  <c r="K422" i="90" s="1"/>
  <c r="K421" i="90" s="1"/>
  <c r="K359" i="90" l="1"/>
  <c r="K358" i="90" s="1"/>
  <c r="D14" i="98"/>
  <c r="D16" i="98"/>
  <c r="J321" i="92"/>
  <c r="M321" i="92" s="1"/>
  <c r="M322" i="92"/>
  <c r="K384" i="90"/>
  <c r="K383" i="90" s="1"/>
  <c r="D18" i="98"/>
  <c r="K170" i="90"/>
  <c r="K169" i="90" s="1"/>
  <c r="K168" i="90" s="1"/>
  <c r="K381" i="90"/>
  <c r="M380" i="92"/>
  <c r="D15" i="98"/>
  <c r="D19" i="98"/>
  <c r="J29" i="94"/>
  <c r="J383" i="90"/>
  <c r="J71" i="94"/>
  <c r="J86" i="94"/>
  <c r="K80" i="94"/>
  <c r="I383" i="90"/>
  <c r="J337" i="90"/>
  <c r="J336" i="90" s="1"/>
  <c r="J335" i="90" s="1"/>
  <c r="J330" i="90" s="1"/>
  <c r="K357" i="90"/>
  <c r="J357" i="90"/>
  <c r="K222" i="90"/>
  <c r="K221" i="90" s="1"/>
  <c r="J222" i="90"/>
  <c r="J221" i="90" s="1"/>
  <c r="K119" i="90"/>
  <c r="K233" i="90"/>
  <c r="K229" i="90" s="1"/>
  <c r="K228" i="90" s="1"/>
  <c r="J119" i="90"/>
  <c r="K348" i="90"/>
  <c r="K91" i="94"/>
  <c r="K16" i="94"/>
  <c r="K181" i="90"/>
  <c r="K180" i="90" s="1"/>
  <c r="K179" i="90" s="1"/>
  <c r="K178" i="90" s="1"/>
  <c r="K177" i="90" s="1"/>
  <c r="K33" i="94"/>
  <c r="K32" i="94" s="1"/>
  <c r="K311" i="90"/>
  <c r="K69" i="94"/>
  <c r="K68" i="94"/>
  <c r="K30" i="90"/>
  <c r="K29" i="90" s="1"/>
  <c r="K28" i="90" s="1"/>
  <c r="M22" i="92"/>
  <c r="K76" i="90"/>
  <c r="K75" i="90" s="1"/>
  <c r="K68" i="90" s="1"/>
  <c r="K67" i="90" s="1"/>
  <c r="K17" i="94"/>
  <c r="K341" i="90"/>
  <c r="K340" i="90" s="1"/>
  <c r="K88" i="94"/>
  <c r="K86" i="94" s="1"/>
  <c r="K356" i="90"/>
  <c r="K355" i="90" s="1"/>
  <c r="K354" i="90" s="1"/>
  <c r="K96" i="94"/>
  <c r="K95" i="94" s="1"/>
  <c r="K149" i="90"/>
  <c r="K148" i="90" s="1"/>
  <c r="K147" i="90" s="1"/>
  <c r="K146" i="90" s="1"/>
  <c r="K145" i="90" s="1"/>
  <c r="K144" i="90" s="1"/>
  <c r="M146" i="92"/>
  <c r="K347" i="90"/>
  <c r="K90" i="94"/>
  <c r="M344" i="92"/>
  <c r="M381" i="92"/>
  <c r="M353" i="92"/>
  <c r="K35" i="94"/>
  <c r="K34" i="94" s="1"/>
  <c r="K25" i="102"/>
  <c r="J25" i="102"/>
  <c r="J147" i="94"/>
  <c r="J146" i="94" s="1"/>
  <c r="K147" i="94"/>
  <c r="K146" i="94" s="1"/>
  <c r="J129" i="94"/>
  <c r="K151" i="94"/>
  <c r="K129" i="94"/>
  <c r="J97" i="94"/>
  <c r="J80" i="94"/>
  <c r="K71" i="94"/>
  <c r="K38" i="94"/>
  <c r="K29" i="94"/>
  <c r="K97" i="94"/>
  <c r="J67" i="94"/>
  <c r="J52" i="94"/>
  <c r="J38" i="94"/>
  <c r="K163" i="94"/>
  <c r="K162" i="94" s="1"/>
  <c r="K122" i="94"/>
  <c r="J89" i="94"/>
  <c r="J109" i="94"/>
  <c r="J151" i="94"/>
  <c r="J163" i="94"/>
  <c r="J162" i="94" s="1"/>
  <c r="J122" i="94"/>
  <c r="K109" i="94"/>
  <c r="K38" i="90"/>
  <c r="J272" i="90"/>
  <c r="J264" i="90" s="1"/>
  <c r="K134" i="90"/>
  <c r="K133" i="90" s="1"/>
  <c r="K132" i="90" s="1"/>
  <c r="K380" i="90"/>
  <c r="J309" i="90"/>
  <c r="J308" i="90" s="1"/>
  <c r="J307" i="90" s="1"/>
  <c r="J134" i="90"/>
  <c r="J133" i="90" s="1"/>
  <c r="J132" i="90" s="1"/>
  <c r="J388" i="90"/>
  <c r="J387" i="90" s="1"/>
  <c r="J386" i="90" s="1"/>
  <c r="J380" i="90"/>
  <c r="K396" i="90"/>
  <c r="K395" i="90" s="1"/>
  <c r="J412" i="90"/>
  <c r="J411" i="90" s="1"/>
  <c r="J410" i="90" s="1"/>
  <c r="J409" i="90" s="1"/>
  <c r="K388" i="90"/>
  <c r="K387" i="90" s="1"/>
  <c r="K386" i="90" s="1"/>
  <c r="J233" i="90"/>
  <c r="J229" i="90" s="1"/>
  <c r="J228" i="90" s="1"/>
  <c r="K363" i="90"/>
  <c r="K362" i="90" s="1"/>
  <c r="K309" i="90"/>
  <c r="K308" i="90" s="1"/>
  <c r="K307" i="90" s="1"/>
  <c r="K272" i="90"/>
  <c r="K264" i="90" s="1"/>
  <c r="K198" i="90"/>
  <c r="K197" i="90" s="1"/>
  <c r="K196" i="90" s="1"/>
  <c r="K81" i="90"/>
  <c r="K80" i="90" s="1"/>
  <c r="J346" i="90"/>
  <c r="J345" i="90" s="1"/>
  <c r="J344" i="90" s="1"/>
  <c r="J314" i="90"/>
  <c r="J313" i="90" s="1"/>
  <c r="J257" i="90"/>
  <c r="J199" i="90"/>
  <c r="J198" i="90" s="1"/>
  <c r="J197" i="90" s="1"/>
  <c r="J196" i="90" s="1"/>
  <c r="J81" i="90"/>
  <c r="J80" i="90" s="1"/>
  <c r="K412" i="90"/>
  <c r="K411" i="90" s="1"/>
  <c r="K410" i="90" s="1"/>
  <c r="K409" i="90" s="1"/>
  <c r="J396" i="90"/>
  <c r="J395" i="90" s="1"/>
  <c r="J363" i="90"/>
  <c r="J362" i="90" s="1"/>
  <c r="J364" i="90"/>
  <c r="K257" i="90"/>
  <c r="K139" i="90"/>
  <c r="K138" i="90" s="1"/>
  <c r="K364" i="90"/>
  <c r="K314" i="90"/>
  <c r="K313" i="90" s="1"/>
  <c r="J168" i="90"/>
  <c r="J139" i="90"/>
  <c r="J138" i="90" s="1"/>
  <c r="K292" i="90"/>
  <c r="K291" i="90" s="1"/>
  <c r="K42" i="90"/>
  <c r="K41" i="90" s="1"/>
  <c r="K34" i="90"/>
  <c r="K17" i="90"/>
  <c r="K16" i="90" s="1"/>
  <c r="K15" i="90" s="1"/>
  <c r="K14" i="90" s="1"/>
  <c r="J179" i="90"/>
  <c r="J178" i="90" s="1"/>
  <c r="J177" i="90" s="1"/>
  <c r="J68" i="90"/>
  <c r="J67" i="90" s="1"/>
  <c r="J292" i="90"/>
  <c r="J291" i="90" s="1"/>
  <c r="J42" i="90"/>
  <c r="J41" i="90" s="1"/>
  <c r="J17" i="90"/>
  <c r="J16" i="90" s="1"/>
  <c r="J15" i="90" s="1"/>
  <c r="J14" i="90" s="1"/>
  <c r="K375" i="90" l="1"/>
  <c r="K374" i="90" s="1"/>
  <c r="J375" i="90"/>
  <c r="J374" i="90" s="1"/>
  <c r="J195" i="90"/>
  <c r="K67" i="94"/>
  <c r="K346" i="90"/>
  <c r="K345" i="90" s="1"/>
  <c r="K344" i="90" s="1"/>
  <c r="K195" i="90"/>
  <c r="K337" i="90"/>
  <c r="K336" i="90" s="1"/>
  <c r="K335" i="90" s="1"/>
  <c r="K330" i="90" s="1"/>
  <c r="K306" i="90"/>
  <c r="J306" i="90"/>
  <c r="K89" i="94"/>
  <c r="K31" i="90"/>
  <c r="K27" i="90" s="1"/>
  <c r="K22" i="90" s="1"/>
  <c r="K108" i="94"/>
  <c r="J108" i="94"/>
  <c r="J256" i="90"/>
  <c r="J255" i="90" s="1"/>
  <c r="K256" i="90"/>
  <c r="K255" i="90" s="1"/>
  <c r="D49" i="98" l="1"/>
  <c r="E49" i="98"/>
  <c r="D22" i="98"/>
  <c r="E22" i="98"/>
  <c r="F15" i="97"/>
  <c r="F16" i="97"/>
  <c r="F17" i="97"/>
  <c r="F18" i="97"/>
  <c r="F20" i="97"/>
  <c r="F23" i="97"/>
  <c r="F26" i="97"/>
  <c r="F28" i="97"/>
  <c r="F32" i="97"/>
  <c r="F38" i="97"/>
  <c r="F41" i="97"/>
  <c r="F45" i="97"/>
  <c r="F49" i="97"/>
  <c r="F51" i="97"/>
  <c r="F54" i="97"/>
  <c r="F57" i="97"/>
  <c r="F60" i="97"/>
  <c r="F63" i="97"/>
  <c r="F66" i="97"/>
  <c r="F68" i="97"/>
  <c r="F71" i="97"/>
  <c r="F73" i="97"/>
  <c r="F75" i="97"/>
  <c r="F77" i="97"/>
  <c r="C27" i="97"/>
  <c r="C14" i="97"/>
  <c r="C13" i="97" s="1"/>
  <c r="C67" i="97"/>
  <c r="E74" i="97"/>
  <c r="F74" i="97" s="1"/>
  <c r="C77" i="97"/>
  <c r="C76" i="97" s="1"/>
  <c r="C74" i="97" s="1"/>
  <c r="C40" i="95"/>
  <c r="D76" i="97"/>
  <c r="D74" i="97" s="1"/>
  <c r="E76" i="97"/>
  <c r="E35" i="97"/>
  <c r="F35" i="97" s="1"/>
  <c r="D35" i="97"/>
  <c r="C35" i="97"/>
  <c r="C34" i="97" s="1"/>
  <c r="D72" i="97"/>
  <c r="E72" i="97"/>
  <c r="C72" i="97"/>
  <c r="D70" i="97"/>
  <c r="F70" i="97" s="1"/>
  <c r="E70" i="97"/>
  <c r="C70" i="97"/>
  <c r="D67" i="97"/>
  <c r="E67" i="97"/>
  <c r="F67" i="97" s="1"/>
  <c r="D62" i="97"/>
  <c r="E62" i="97"/>
  <c r="F62" i="97" s="1"/>
  <c r="C62" i="97"/>
  <c r="D59" i="97"/>
  <c r="D58" i="97" s="1"/>
  <c r="F58" i="97" s="1"/>
  <c r="E59" i="97"/>
  <c r="E58" i="97" s="1"/>
  <c r="C59" i="97"/>
  <c r="C58" i="97" s="1"/>
  <c r="D56" i="97"/>
  <c r="E56" i="97"/>
  <c r="F56" i="97" s="1"/>
  <c r="C56" i="97"/>
  <c r="C55" i="97" s="1"/>
  <c r="D48" i="97"/>
  <c r="E48" i="97"/>
  <c r="F48" i="97" s="1"/>
  <c r="D50" i="97"/>
  <c r="F50" i="97" s="1"/>
  <c r="E50" i="97"/>
  <c r="D53" i="97"/>
  <c r="D52" i="97" s="1"/>
  <c r="E53" i="97"/>
  <c r="E52" i="97" s="1"/>
  <c r="F52" i="97" s="1"/>
  <c r="C48" i="97"/>
  <c r="C50" i="97"/>
  <c r="C53" i="97"/>
  <c r="C52" i="97" s="1"/>
  <c r="D44" i="97"/>
  <c r="D43" i="97" s="1"/>
  <c r="E44" i="97"/>
  <c r="E43" i="97" s="1"/>
  <c r="F43" i="97" s="1"/>
  <c r="C44" i="97"/>
  <c r="C43" i="97" s="1"/>
  <c r="D40" i="97"/>
  <c r="D39" i="97" s="1"/>
  <c r="E40" i="97"/>
  <c r="E39" i="97" s="1"/>
  <c r="F39" i="97" s="1"/>
  <c r="C40" i="97"/>
  <c r="C39" i="97" s="1"/>
  <c r="D37" i="97"/>
  <c r="D36" i="97" s="1"/>
  <c r="E37" i="97"/>
  <c r="E36" i="97" s="1"/>
  <c r="C37" i="97"/>
  <c r="C36" i="97" s="1"/>
  <c r="D31" i="97"/>
  <c r="E31" i="97"/>
  <c r="C31" i="97"/>
  <c r="D25" i="97"/>
  <c r="D24" i="97" s="1"/>
  <c r="E25" i="97"/>
  <c r="E24" i="97" s="1"/>
  <c r="D27" i="97"/>
  <c r="E27" i="97"/>
  <c r="C25" i="97"/>
  <c r="D22" i="97"/>
  <c r="F22" i="97" s="1"/>
  <c r="E22" i="97"/>
  <c r="C22" i="97"/>
  <c r="D14" i="97"/>
  <c r="E14" i="97"/>
  <c r="F14" i="97" s="1"/>
  <c r="C24" i="97" l="1"/>
  <c r="D55" i="97"/>
  <c r="D34" i="97"/>
  <c r="D33" i="97" s="1"/>
  <c r="F24" i="97"/>
  <c r="C21" i="97"/>
  <c r="F27" i="97"/>
  <c r="F36" i="97"/>
  <c r="F72" i="97"/>
  <c r="F37" i="97"/>
  <c r="C33" i="97"/>
  <c r="E21" i="97"/>
  <c r="F31" i="97"/>
  <c r="D21" i="97"/>
  <c r="F53" i="97"/>
  <c r="F25" i="97"/>
  <c r="E34" i="97"/>
  <c r="E55" i="97"/>
  <c r="F55" i="97" s="1"/>
  <c r="F76" i="97"/>
  <c r="F44" i="97"/>
  <c r="F40" i="97"/>
  <c r="F59" i="97"/>
  <c r="C69" i="97"/>
  <c r="C65" i="97" s="1"/>
  <c r="C47" i="97"/>
  <c r="E47" i="97"/>
  <c r="E69" i="97"/>
  <c r="E65" i="97" s="1"/>
  <c r="D69" i="97"/>
  <c r="D65" i="97" s="1"/>
  <c r="D47" i="97"/>
  <c r="F65" i="97" l="1"/>
  <c r="F21" i="97"/>
  <c r="F69" i="97"/>
  <c r="E33" i="97"/>
  <c r="F33" i="97" s="1"/>
  <c r="F34" i="97"/>
  <c r="F47" i="97"/>
  <c r="D64" i="97"/>
  <c r="E61" i="97"/>
  <c r="D61" i="97"/>
  <c r="C61" i="97"/>
  <c r="C46" i="97"/>
  <c r="D46" i="97"/>
  <c r="E42" i="97"/>
  <c r="D42" i="97"/>
  <c r="C42" i="97"/>
  <c r="E30" i="97"/>
  <c r="D30" i="97"/>
  <c r="D29" i="97" s="1"/>
  <c r="C30" i="97"/>
  <c r="C29" i="97" s="1"/>
  <c r="E19" i="97"/>
  <c r="D19" i="97"/>
  <c r="C19" i="97"/>
  <c r="D13" i="97"/>
  <c r="D12" i="97" l="1"/>
  <c r="C12" i="97"/>
  <c r="F42" i="97"/>
  <c r="F19" i="97"/>
  <c r="F61" i="97"/>
  <c r="F30" i="97"/>
  <c r="C64" i="97"/>
  <c r="E46" i="97"/>
  <c r="F46" i="97" s="1"/>
  <c r="D78" i="97"/>
  <c r="E64" i="97"/>
  <c r="F64" i="97" s="1"/>
  <c r="E29" i="97"/>
  <c r="F29" i="97" s="1"/>
  <c r="E13" i="97"/>
  <c r="F13" i="97" s="1"/>
  <c r="C78" i="97" l="1"/>
  <c r="E12" i="97"/>
  <c r="E78" i="97" l="1"/>
  <c r="F78" i="97" s="1"/>
  <c r="F12" i="97"/>
  <c r="F16" i="95" l="1"/>
  <c r="F18" i="95"/>
  <c r="F25" i="95"/>
  <c r="F27" i="95"/>
  <c r="F31" i="95"/>
  <c r="F32" i="95"/>
  <c r="F34" i="95"/>
  <c r="F37" i="95"/>
  <c r="F38" i="95"/>
  <c r="F41" i="95"/>
  <c r="E40" i="95"/>
  <c r="E39" i="95"/>
  <c r="E29" i="95"/>
  <c r="F29" i="95" s="1"/>
  <c r="D26" i="95"/>
  <c r="E26" i="95"/>
  <c r="F26" i="95" s="1"/>
  <c r="C26" i="95"/>
  <c r="E24" i="95"/>
  <c r="F24" i="95" s="1"/>
  <c r="D30" i="95"/>
  <c r="E30" i="95"/>
  <c r="F30" i="95" s="1"/>
  <c r="C21" i="95"/>
  <c r="C20" i="95" s="1"/>
  <c r="E22" i="95"/>
  <c r="F22" i="95" s="1"/>
  <c r="D21" i="95"/>
  <c r="D20" i="95" s="1"/>
  <c r="E21" i="95" l="1"/>
  <c r="F21" i="95" s="1"/>
  <c r="E20" i="95" l="1"/>
  <c r="F20" i="95" s="1"/>
  <c r="E19" i="95" l="1"/>
  <c r="E14" i="95"/>
  <c r="F14" i="95" s="1"/>
  <c r="E13" i="95"/>
  <c r="D39" i="95"/>
  <c r="F39" i="95" s="1"/>
  <c r="D13" i="95"/>
  <c r="D15" i="95"/>
  <c r="E15" i="95"/>
  <c r="D17" i="95"/>
  <c r="E17" i="95"/>
  <c r="E23" i="95"/>
  <c r="D23" i="95"/>
  <c r="D28" i="95"/>
  <c r="E28" i="95"/>
  <c r="F28" i="95" s="1"/>
  <c r="E33" i="95"/>
  <c r="D33" i="95"/>
  <c r="E36" i="95"/>
  <c r="C39" i="95"/>
  <c r="C38" i="95"/>
  <c r="C36" i="95" s="1"/>
  <c r="C35" i="95" s="1"/>
  <c r="C34" i="95"/>
  <c r="C33" i="95" s="1"/>
  <c r="C32" i="95"/>
  <c r="C30" i="95" s="1"/>
  <c r="C29" i="95"/>
  <c r="C28" i="95" s="1"/>
  <c r="C24" i="95"/>
  <c r="C23" i="95" s="1"/>
  <c r="C17" i="95"/>
  <c r="C15" i="95"/>
  <c r="C14" i="95"/>
  <c r="C13" i="95" s="1"/>
  <c r="F19" i="95" l="1"/>
  <c r="D14" i="103"/>
  <c r="D15" i="103" s="1"/>
  <c r="F15" i="95"/>
  <c r="F23" i="95"/>
  <c r="F17" i="95"/>
  <c r="C12" i="95"/>
  <c r="C42" i="95" s="1"/>
  <c r="D12" i="95"/>
  <c r="F13" i="95"/>
  <c r="D36" i="95"/>
  <c r="D35" i="95" s="1"/>
  <c r="F40" i="95"/>
  <c r="F33" i="95"/>
  <c r="E35" i="95"/>
  <c r="E12" i="95"/>
  <c r="F12" i="95" s="1"/>
  <c r="F36" i="95" l="1"/>
  <c r="D24" i="107"/>
  <c r="D23" i="107" s="1"/>
  <c r="D22" i="107" s="1"/>
  <c r="D21" i="107" s="1"/>
  <c r="J453" i="92"/>
  <c r="C16" i="104"/>
  <c r="C15" i="104" s="1"/>
  <c r="C14" i="104" s="1"/>
  <c r="C13" i="104" s="1"/>
  <c r="D42" i="95"/>
  <c r="F35" i="95"/>
  <c r="E42" i="95"/>
  <c r="E24" i="107" l="1"/>
  <c r="E23" i="107" s="1"/>
  <c r="E22" i="107" s="1"/>
  <c r="E21" i="107" s="1"/>
  <c r="K453" i="92"/>
  <c r="D16" i="104"/>
  <c r="D15" i="104" s="1"/>
  <c r="D14" i="104" s="1"/>
  <c r="D13" i="104" s="1"/>
  <c r="F42" i="95"/>
  <c r="F24" i="107"/>
  <c r="F23" i="107" s="1"/>
  <c r="F22" i="107" s="1"/>
  <c r="F21" i="107" s="1"/>
  <c r="L453" i="92"/>
  <c r="E16" i="104"/>
  <c r="E15" i="104" s="1"/>
  <c r="E14" i="104" s="1"/>
  <c r="E13" i="104" s="1"/>
  <c r="K17" i="92"/>
  <c r="K16" i="92" s="1"/>
  <c r="K15" i="92" s="1"/>
  <c r="L17" i="92"/>
  <c r="L16" i="92" s="1"/>
  <c r="L15" i="92" s="1"/>
  <c r="K21" i="92"/>
  <c r="K20" i="92" s="1"/>
  <c r="L21" i="92"/>
  <c r="L20" i="92" s="1"/>
  <c r="L24" i="92"/>
  <c r="L26" i="92"/>
  <c r="L30" i="92"/>
  <c r="K38" i="92"/>
  <c r="L38" i="92"/>
  <c r="K40" i="92"/>
  <c r="L40" i="92"/>
  <c r="K42" i="92"/>
  <c r="L42" i="92"/>
  <c r="K44" i="92"/>
  <c r="L44" i="92"/>
  <c r="K49" i="92"/>
  <c r="K48" i="92" s="1"/>
  <c r="K47" i="92" s="1"/>
  <c r="K46" i="92" s="1"/>
  <c r="E14" i="105" s="1"/>
  <c r="L49" i="92"/>
  <c r="L48" i="92" s="1"/>
  <c r="L47" i="92" s="1"/>
  <c r="L46" i="92" s="1"/>
  <c r="F14" i="105" s="1"/>
  <c r="K53" i="92"/>
  <c r="K52" i="92" s="1"/>
  <c r="K51" i="92" s="1"/>
  <c r="L53" i="92"/>
  <c r="L52" i="92" s="1"/>
  <c r="L51" i="92" s="1"/>
  <c r="L58" i="92"/>
  <c r="L57" i="92" s="1"/>
  <c r="L56" i="92" s="1"/>
  <c r="L55" i="92" s="1"/>
  <c r="F15" i="105" s="1"/>
  <c r="K63" i="92"/>
  <c r="L63" i="92"/>
  <c r="L65" i="92"/>
  <c r="K65" i="92"/>
  <c r="J15" i="94" s="1"/>
  <c r="J13" i="94" s="1"/>
  <c r="J12" i="94" s="1"/>
  <c r="K67" i="92"/>
  <c r="L67" i="92"/>
  <c r="K69" i="92"/>
  <c r="L69" i="92"/>
  <c r="K72" i="92"/>
  <c r="K71" i="92" s="1"/>
  <c r="L72" i="92"/>
  <c r="L71" i="92" s="1"/>
  <c r="L77" i="92"/>
  <c r="L76" i="92" s="1"/>
  <c r="K77" i="92"/>
  <c r="K76" i="92" s="1"/>
  <c r="K80" i="92"/>
  <c r="K79" i="92" s="1"/>
  <c r="L80" i="92"/>
  <c r="L79" i="92" s="1"/>
  <c r="K83" i="92"/>
  <c r="K82" i="92" s="1"/>
  <c r="L83" i="92"/>
  <c r="L82" i="92" s="1"/>
  <c r="K86" i="92"/>
  <c r="K85" i="92" s="1"/>
  <c r="L86" i="92"/>
  <c r="L85" i="92" s="1"/>
  <c r="K89" i="92"/>
  <c r="K88" i="92" s="1"/>
  <c r="L89" i="92"/>
  <c r="L88" i="92" s="1"/>
  <c r="L92" i="92"/>
  <c r="L91" i="92" s="1"/>
  <c r="K92" i="92"/>
  <c r="K91" i="92" s="1"/>
  <c r="K97" i="92"/>
  <c r="L97" i="92"/>
  <c r="K99" i="92"/>
  <c r="L99" i="92"/>
  <c r="K101" i="92"/>
  <c r="L101" i="92"/>
  <c r="K103" i="92"/>
  <c r="L103" i="92"/>
  <c r="K107" i="92"/>
  <c r="K106" i="92" s="1"/>
  <c r="K105" i="92" s="1"/>
  <c r="L107" i="92"/>
  <c r="L106" i="92" s="1"/>
  <c r="L105" i="92" s="1"/>
  <c r="K111" i="92"/>
  <c r="K110" i="92" s="1"/>
  <c r="K109" i="92" s="1"/>
  <c r="L111" i="92"/>
  <c r="L110" i="92" s="1"/>
  <c r="L109" i="92" s="1"/>
  <c r="K115" i="92"/>
  <c r="K114" i="92" s="1"/>
  <c r="L115" i="92"/>
  <c r="L114" i="92" s="1"/>
  <c r="K118" i="92"/>
  <c r="K117" i="92" s="1"/>
  <c r="L118" i="92"/>
  <c r="L117" i="92" s="1"/>
  <c r="K121" i="92"/>
  <c r="K120" i="92" s="1"/>
  <c r="L121" i="92"/>
  <c r="L120" i="92" s="1"/>
  <c r="K124" i="92"/>
  <c r="K123" i="92" s="1"/>
  <c r="L124" i="92"/>
  <c r="L123" i="92" s="1"/>
  <c r="K127" i="92"/>
  <c r="K126" i="92" s="1"/>
  <c r="L127" i="92"/>
  <c r="L126" i="92" s="1"/>
  <c r="K131" i="92"/>
  <c r="K130" i="92" s="1"/>
  <c r="K129" i="92" s="1"/>
  <c r="L131" i="92"/>
  <c r="L130" i="92" s="1"/>
  <c r="L129" i="92" s="1"/>
  <c r="L137" i="92"/>
  <c r="K137" i="92"/>
  <c r="K139" i="92"/>
  <c r="L139" i="92"/>
  <c r="K145" i="92"/>
  <c r="K144" i="92" s="1"/>
  <c r="K143" i="92" s="1"/>
  <c r="K142" i="92" s="1"/>
  <c r="K141" i="92" s="1"/>
  <c r="K441" i="92" s="1"/>
  <c r="L145" i="92"/>
  <c r="L144" i="92" s="1"/>
  <c r="L143" i="92" s="1"/>
  <c r="L142" i="92" s="1"/>
  <c r="L141" i="92" s="1"/>
  <c r="L441" i="92" s="1"/>
  <c r="K152" i="92"/>
  <c r="L152" i="92"/>
  <c r="K154" i="92"/>
  <c r="L154" i="92"/>
  <c r="K156" i="92"/>
  <c r="L156" i="92"/>
  <c r="K159" i="92"/>
  <c r="J25" i="94" s="1"/>
  <c r="L159" i="92"/>
  <c r="K25" i="94" s="1"/>
  <c r="K161" i="92"/>
  <c r="J26" i="94" s="1"/>
  <c r="L161" i="92"/>
  <c r="K26" i="94" s="1"/>
  <c r="K164" i="92"/>
  <c r="J28" i="94" s="1"/>
  <c r="J27" i="94" s="1"/>
  <c r="L164" i="92"/>
  <c r="K166" i="92"/>
  <c r="L166" i="92"/>
  <c r="K168" i="92"/>
  <c r="L168" i="92"/>
  <c r="K172" i="92"/>
  <c r="K171" i="92" s="1"/>
  <c r="K170" i="92" s="1"/>
  <c r="L172" i="92"/>
  <c r="L171" i="92" s="1"/>
  <c r="L170" i="92" s="1"/>
  <c r="K177" i="92"/>
  <c r="L177" i="92"/>
  <c r="K179" i="92"/>
  <c r="L179" i="92"/>
  <c r="L182" i="92"/>
  <c r="L181" i="92" s="1"/>
  <c r="K182" i="92"/>
  <c r="K181" i="92" s="1"/>
  <c r="K186" i="92"/>
  <c r="K185" i="92" s="1"/>
  <c r="K184" i="92" s="1"/>
  <c r="L186" i="92"/>
  <c r="L185" i="92" s="1"/>
  <c r="L184" i="92" s="1"/>
  <c r="K190" i="92"/>
  <c r="K189" i="92" s="1"/>
  <c r="K188" i="92" s="1"/>
  <c r="L190" i="92"/>
  <c r="L189" i="92" s="1"/>
  <c r="L188" i="92" s="1"/>
  <c r="K196" i="92"/>
  <c r="L196" i="92"/>
  <c r="K199" i="92"/>
  <c r="L199" i="92"/>
  <c r="K201" i="92"/>
  <c r="L201" i="92"/>
  <c r="K203" i="92"/>
  <c r="L203" i="92"/>
  <c r="K205" i="92"/>
  <c r="L205" i="92"/>
  <c r="K207" i="92"/>
  <c r="L207" i="92"/>
  <c r="K209" i="92"/>
  <c r="L209" i="92"/>
  <c r="L211" i="92"/>
  <c r="K211" i="92"/>
  <c r="K216" i="92"/>
  <c r="K215" i="92" s="1"/>
  <c r="K214" i="92" s="1"/>
  <c r="K213" i="92" s="1"/>
  <c r="E24" i="105" s="1"/>
  <c r="L216" i="92"/>
  <c r="L215" i="92" s="1"/>
  <c r="L214" i="92" s="1"/>
  <c r="L213" i="92" s="1"/>
  <c r="F24" i="105" s="1"/>
  <c r="K220" i="92"/>
  <c r="L220" i="92"/>
  <c r="K222" i="92"/>
  <c r="L222" i="92"/>
  <c r="K228" i="92"/>
  <c r="K227" i="92" s="1"/>
  <c r="L228" i="92"/>
  <c r="L227" i="92" s="1"/>
  <c r="K231" i="92"/>
  <c r="L231" i="92"/>
  <c r="K233" i="92"/>
  <c r="L233" i="92"/>
  <c r="K236" i="92"/>
  <c r="K235" i="92" s="1"/>
  <c r="L236" i="92"/>
  <c r="L235" i="92" s="1"/>
  <c r="L240" i="92"/>
  <c r="L239" i="92" s="1"/>
  <c r="L238" i="92" s="1"/>
  <c r="K240" i="92"/>
  <c r="K239" i="92" s="1"/>
  <c r="K238" i="92" s="1"/>
  <c r="K246" i="92"/>
  <c r="J78" i="94" s="1"/>
  <c r="J77" i="94" s="1"/>
  <c r="J74" i="94" s="1"/>
  <c r="L246" i="92"/>
  <c r="K78" i="94" s="1"/>
  <c r="K77" i="94" s="1"/>
  <c r="K74" i="94" s="1"/>
  <c r="K250" i="92"/>
  <c r="K249" i="92" s="1"/>
  <c r="K248" i="92" s="1"/>
  <c r="L250" i="92"/>
  <c r="L249" i="92" s="1"/>
  <c r="L248" i="92" s="1"/>
  <c r="K255" i="92"/>
  <c r="L255" i="92"/>
  <c r="K257" i="92"/>
  <c r="L257" i="92"/>
  <c r="K259" i="92"/>
  <c r="J51" i="94" s="1"/>
  <c r="J48" i="94" s="1"/>
  <c r="J37" i="94" s="1"/>
  <c r="L259" i="92"/>
  <c r="K51" i="94" s="1"/>
  <c r="K48" i="94" s="1"/>
  <c r="K37" i="94" s="1"/>
  <c r="K262" i="92"/>
  <c r="L262" i="92"/>
  <c r="K265" i="92"/>
  <c r="L265" i="92"/>
  <c r="L267" i="92"/>
  <c r="K267" i="92"/>
  <c r="K269" i="92"/>
  <c r="L269" i="92"/>
  <c r="K272" i="92"/>
  <c r="L272" i="92"/>
  <c r="K274" i="92"/>
  <c r="L274" i="92"/>
  <c r="L276" i="92"/>
  <c r="K276" i="92"/>
  <c r="K278" i="92"/>
  <c r="L278" i="92"/>
  <c r="K280" i="92"/>
  <c r="K282" i="92"/>
  <c r="L282" i="92"/>
  <c r="K284" i="92"/>
  <c r="L284" i="92"/>
  <c r="K286" i="92"/>
  <c r="L286" i="92"/>
  <c r="K291" i="92"/>
  <c r="K290" i="92" s="1"/>
  <c r="L291" i="92"/>
  <c r="L290" i="92" s="1"/>
  <c r="K294" i="92"/>
  <c r="K293" i="92" s="1"/>
  <c r="L294" i="92"/>
  <c r="L293" i="92" s="1"/>
  <c r="K297" i="92"/>
  <c r="K296" i="92" s="1"/>
  <c r="L297" i="92"/>
  <c r="L296" i="92" s="1"/>
  <c r="K301" i="92"/>
  <c r="K300" i="92" s="1"/>
  <c r="K299" i="92" s="1"/>
  <c r="L301" i="92"/>
  <c r="L300" i="92" s="1"/>
  <c r="L299" i="92" s="1"/>
  <c r="K306" i="92"/>
  <c r="K305" i="92" s="1"/>
  <c r="K304" i="92" s="1"/>
  <c r="L306" i="92"/>
  <c r="L305" i="92" s="1"/>
  <c r="L304" i="92" s="1"/>
  <c r="L313" i="92"/>
  <c r="L312" i="92" s="1"/>
  <c r="K313" i="92"/>
  <c r="K312" i="92" s="1"/>
  <c r="K316" i="92"/>
  <c r="K315" i="92" s="1"/>
  <c r="L316" i="92"/>
  <c r="L315" i="92" s="1"/>
  <c r="K319" i="92"/>
  <c r="K318" i="92" s="1"/>
  <c r="L319" i="92"/>
  <c r="L318" i="92" s="1"/>
  <c r="K330" i="92"/>
  <c r="K329" i="92" s="1"/>
  <c r="K328" i="92" s="1"/>
  <c r="E32" i="105" s="1"/>
  <c r="L330" i="92"/>
  <c r="L329" i="92" s="1"/>
  <c r="L328" i="92" s="1"/>
  <c r="F32" i="105" s="1"/>
  <c r="K337" i="92"/>
  <c r="L337" i="92"/>
  <c r="K335" i="92"/>
  <c r="L335" i="92"/>
  <c r="K343" i="92"/>
  <c r="L343" i="92"/>
  <c r="K349" i="92"/>
  <c r="L349" i="92"/>
  <c r="K347" i="92"/>
  <c r="L347" i="92"/>
  <c r="K352" i="92"/>
  <c r="K351" i="92" s="1"/>
  <c r="L352" i="92"/>
  <c r="L351" i="92" s="1"/>
  <c r="L355" i="92"/>
  <c r="K355" i="92"/>
  <c r="K357" i="92"/>
  <c r="L357" i="92"/>
  <c r="L362" i="92"/>
  <c r="L361" i="92" s="1"/>
  <c r="K362" i="92"/>
  <c r="K365" i="92"/>
  <c r="K364" i="92" s="1"/>
  <c r="L365" i="92"/>
  <c r="L364" i="92" s="1"/>
  <c r="K370" i="92"/>
  <c r="J145" i="94" s="1"/>
  <c r="J143" i="94" s="1"/>
  <c r="J142" i="94" s="1"/>
  <c r="L370" i="92"/>
  <c r="K373" i="92"/>
  <c r="L373" i="92"/>
  <c r="K375" i="92"/>
  <c r="L375" i="92"/>
  <c r="K377" i="92"/>
  <c r="L377" i="92"/>
  <c r="K386" i="92"/>
  <c r="L386" i="92"/>
  <c r="L388" i="92"/>
  <c r="K388" i="92"/>
  <c r="K390" i="92"/>
  <c r="L390" i="92"/>
  <c r="K396" i="92"/>
  <c r="K395" i="92" s="1"/>
  <c r="K394" i="92" s="1"/>
  <c r="L396" i="92"/>
  <c r="L395" i="92" s="1"/>
  <c r="L394" i="92" s="1"/>
  <c r="K400" i="92"/>
  <c r="K399" i="92" s="1"/>
  <c r="K398" i="92" s="1"/>
  <c r="L400" i="92"/>
  <c r="L399" i="92" s="1"/>
  <c r="L398" i="92" s="1"/>
  <c r="K404" i="92"/>
  <c r="K403" i="92" s="1"/>
  <c r="K402" i="92" s="1"/>
  <c r="L404" i="92"/>
  <c r="L403" i="92" s="1"/>
  <c r="L402" i="92" s="1"/>
  <c r="K410" i="92"/>
  <c r="L410" i="92"/>
  <c r="K412" i="92"/>
  <c r="J103" i="94" s="1"/>
  <c r="J101" i="94" s="1"/>
  <c r="J85" i="94" s="1"/>
  <c r="L412" i="92"/>
  <c r="K103" i="94" s="1"/>
  <c r="K101" i="94" s="1"/>
  <c r="K85" i="94" s="1"/>
  <c r="K414" i="92"/>
  <c r="L414" i="92"/>
  <c r="K416" i="92"/>
  <c r="L416" i="92"/>
  <c r="L422" i="92"/>
  <c r="L421" i="92" s="1"/>
  <c r="L420" i="92" s="1"/>
  <c r="L419" i="92" s="1"/>
  <c r="K422" i="92"/>
  <c r="K421" i="92" s="1"/>
  <c r="K420" i="92" s="1"/>
  <c r="K419" i="92" s="1"/>
  <c r="K429" i="92"/>
  <c r="L429" i="92"/>
  <c r="K431" i="92"/>
  <c r="L431" i="92"/>
  <c r="K437" i="92"/>
  <c r="K436" i="92" s="1"/>
  <c r="K435" i="92" s="1"/>
  <c r="K434" i="92" s="1"/>
  <c r="L437" i="92"/>
  <c r="L436" i="92" s="1"/>
  <c r="L435" i="92" s="1"/>
  <c r="L434" i="92" s="1"/>
  <c r="J21" i="94" l="1"/>
  <c r="J20" i="94" s="1"/>
  <c r="L418" i="92"/>
  <c r="L450" i="92" s="1"/>
  <c r="F42" i="105"/>
  <c r="F41" i="105" s="1"/>
  <c r="K418" i="92"/>
  <c r="K450" i="92" s="1"/>
  <c r="E42" i="105"/>
  <c r="E41" i="105" s="1"/>
  <c r="K372" i="92"/>
  <c r="K371" i="92" s="1"/>
  <c r="K21" i="94"/>
  <c r="K167" i="90"/>
  <c r="K166" i="90" s="1"/>
  <c r="K165" i="90" s="1"/>
  <c r="K28" i="94"/>
  <c r="K27" i="94" s="1"/>
  <c r="K20" i="94" s="1"/>
  <c r="K373" i="90"/>
  <c r="K372" i="90" s="1"/>
  <c r="K371" i="90" s="1"/>
  <c r="K370" i="90" s="1"/>
  <c r="K343" i="90" s="1"/>
  <c r="K342" i="90" s="1"/>
  <c r="K145" i="94"/>
  <c r="K143" i="94" s="1"/>
  <c r="K142" i="94" s="1"/>
  <c r="K103" i="90"/>
  <c r="K102" i="90" s="1"/>
  <c r="K101" i="90" s="1"/>
  <c r="K100" i="90" s="1"/>
  <c r="K66" i="90" s="1"/>
  <c r="K13" i="90" s="1"/>
  <c r="K135" i="94"/>
  <c r="K134" i="94" s="1"/>
  <c r="J103" i="90"/>
  <c r="J102" i="90" s="1"/>
  <c r="J101" i="90" s="1"/>
  <c r="J100" i="90" s="1"/>
  <c r="J66" i="90" s="1"/>
  <c r="J135" i="94"/>
  <c r="J134" i="94" s="1"/>
  <c r="K15" i="94"/>
  <c r="K13" i="94" s="1"/>
  <c r="K12" i="94" s="1"/>
  <c r="L372" i="92"/>
  <c r="L371" i="92" s="1"/>
  <c r="K334" i="92"/>
  <c r="K333" i="92" s="1"/>
  <c r="K332" i="92" s="1"/>
  <c r="L354" i="92"/>
  <c r="L334" i="92"/>
  <c r="L333" i="92" s="1"/>
  <c r="L332" i="92" s="1"/>
  <c r="L230" i="92"/>
  <c r="L226" i="92" s="1"/>
  <c r="L225" i="92" s="1"/>
  <c r="F27" i="105" s="1"/>
  <c r="L165" i="92"/>
  <c r="L163" i="92"/>
  <c r="L162" i="92" s="1"/>
  <c r="K96" i="92"/>
  <c r="K95" i="92" s="1"/>
  <c r="K94" i="92" s="1"/>
  <c r="K428" i="92"/>
  <c r="K427" i="92" s="1"/>
  <c r="K426" i="92" s="1"/>
  <c r="K369" i="92"/>
  <c r="K368" i="92" s="1"/>
  <c r="K367" i="92" s="1"/>
  <c r="J373" i="90"/>
  <c r="J372" i="90" s="1"/>
  <c r="J371" i="90" s="1"/>
  <c r="J370" i="90" s="1"/>
  <c r="J343" i="90" s="1"/>
  <c r="J342" i="90" s="1"/>
  <c r="K354" i="92"/>
  <c r="L160" i="92"/>
  <c r="K164" i="90"/>
  <c r="K163" i="90" s="1"/>
  <c r="L428" i="92"/>
  <c r="L427" i="92" s="1"/>
  <c r="L426" i="92" s="1"/>
  <c r="L369" i="92"/>
  <c r="L368" i="92" s="1"/>
  <c r="L367" i="92" s="1"/>
  <c r="K230" i="92"/>
  <c r="K226" i="92" s="1"/>
  <c r="K225" i="92" s="1"/>
  <c r="E27" i="105" s="1"/>
  <c r="K160" i="92"/>
  <c r="J164" i="90"/>
  <c r="J163" i="90" s="1"/>
  <c r="L96" i="92"/>
  <c r="L95" i="92" s="1"/>
  <c r="L94" i="92" s="1"/>
  <c r="K245" i="92"/>
  <c r="K244" i="92" s="1"/>
  <c r="K243" i="92" s="1"/>
  <c r="J249" i="90"/>
  <c r="J248" i="90" s="1"/>
  <c r="J247" i="90" s="1"/>
  <c r="J246" i="90" s="1"/>
  <c r="J245" i="90" s="1"/>
  <c r="J227" i="90" s="1"/>
  <c r="K158" i="92"/>
  <c r="J162" i="90"/>
  <c r="J161" i="90" s="1"/>
  <c r="L360" i="92"/>
  <c r="L359" i="92" s="1"/>
  <c r="L245" i="92"/>
  <c r="L244" i="92" s="1"/>
  <c r="L242" i="92" s="1"/>
  <c r="F28" i="105" s="1"/>
  <c r="K249" i="90"/>
  <c r="K248" i="90" s="1"/>
  <c r="K247" i="90" s="1"/>
  <c r="K246" i="90" s="1"/>
  <c r="K245" i="90" s="1"/>
  <c r="K227" i="90" s="1"/>
  <c r="K176" i="92"/>
  <c r="K175" i="92" s="1"/>
  <c r="K174" i="92" s="1"/>
  <c r="E21" i="105" s="1"/>
  <c r="K163" i="92"/>
  <c r="K162" i="92" s="1"/>
  <c r="J167" i="90"/>
  <c r="J166" i="90" s="1"/>
  <c r="J165" i="90" s="1"/>
  <c r="L158" i="92"/>
  <c r="K162" i="90"/>
  <c r="K161" i="90" s="1"/>
  <c r="K62" i="92"/>
  <c r="K61" i="92" s="1"/>
  <c r="K165" i="92"/>
  <c r="L176" i="92"/>
  <c r="L175" i="92" s="1"/>
  <c r="L174" i="92" s="1"/>
  <c r="F21" i="105" s="1"/>
  <c r="K34" i="92"/>
  <c r="K33" i="92" s="1"/>
  <c r="L34" i="92"/>
  <c r="L33" i="92" s="1"/>
  <c r="L62" i="92"/>
  <c r="L113" i="92"/>
  <c r="K136" i="92"/>
  <c r="K135" i="92" s="1"/>
  <c r="L136" i="92"/>
  <c r="L135" i="92" s="1"/>
  <c r="L195" i="92"/>
  <c r="L194" i="92" s="1"/>
  <c r="L193" i="92" s="1"/>
  <c r="L219" i="92"/>
  <c r="L218" i="92" s="1"/>
  <c r="F25" i="105" s="1"/>
  <c r="K219" i="92"/>
  <c r="K218" i="92" s="1"/>
  <c r="E25" i="105" s="1"/>
  <c r="K254" i="92"/>
  <c r="L261" i="92"/>
  <c r="K311" i="92"/>
  <c r="K310" i="92" s="1"/>
  <c r="K303" i="92" s="1"/>
  <c r="E30" i="105" s="1"/>
  <c r="L342" i="92"/>
  <c r="L385" i="92"/>
  <c r="L384" i="92" s="1"/>
  <c r="L383" i="92" s="1"/>
  <c r="F36" i="105" s="1"/>
  <c r="K385" i="92"/>
  <c r="K384" i="92" s="1"/>
  <c r="K383" i="92" s="1"/>
  <c r="E36" i="105" s="1"/>
  <c r="L409" i="92"/>
  <c r="L408" i="92" s="1"/>
  <c r="L407" i="92" s="1"/>
  <c r="K409" i="92"/>
  <c r="K408" i="92" s="1"/>
  <c r="K407" i="92" s="1"/>
  <c r="K75" i="92"/>
  <c r="K74" i="92" s="1"/>
  <c r="L311" i="92"/>
  <c r="L310" i="92" s="1"/>
  <c r="L303" i="92" s="1"/>
  <c r="F30" i="105" s="1"/>
  <c r="K261" i="92"/>
  <c r="L75" i="92"/>
  <c r="L74" i="92" s="1"/>
  <c r="K342" i="92"/>
  <c r="L289" i="92"/>
  <c r="L288" i="92" s="1"/>
  <c r="K289" i="92"/>
  <c r="K288" i="92" s="1"/>
  <c r="L23" i="92"/>
  <c r="L19" i="92" s="1"/>
  <c r="L393" i="92"/>
  <c r="L254" i="92"/>
  <c r="K393" i="92"/>
  <c r="K360" i="92"/>
  <c r="K359" i="92" s="1"/>
  <c r="K361" i="92"/>
  <c r="K195" i="92"/>
  <c r="K194" i="92" s="1"/>
  <c r="K193" i="92" s="1"/>
  <c r="K113" i="92"/>
  <c r="J356" i="92"/>
  <c r="M356" i="92" s="1"/>
  <c r="J391" i="92"/>
  <c r="M391" i="92" s="1"/>
  <c r="J389" i="92"/>
  <c r="M389" i="92" s="1"/>
  <c r="J317" i="92"/>
  <c r="M317" i="92" s="1"/>
  <c r="J308" i="92"/>
  <c r="M308" i="92" s="1"/>
  <c r="J277" i="92"/>
  <c r="M277" i="92" s="1"/>
  <c r="J270" i="92"/>
  <c r="M270" i="92" s="1"/>
  <c r="J266" i="92"/>
  <c r="M266" i="92" s="1"/>
  <c r="J237" i="92"/>
  <c r="M237" i="92" s="1"/>
  <c r="E23" i="105" l="1"/>
  <c r="C16" i="103"/>
  <c r="C17" i="103" s="1"/>
  <c r="F23" i="105"/>
  <c r="D16" i="103"/>
  <c r="D17" i="103" s="1"/>
  <c r="L327" i="92"/>
  <c r="L445" i="92" s="1"/>
  <c r="F33" i="105"/>
  <c r="F31" i="105" s="1"/>
  <c r="L406" i="92"/>
  <c r="L449" i="92" s="1"/>
  <c r="F40" i="105"/>
  <c r="F39" i="105" s="1"/>
  <c r="F22" i="105"/>
  <c r="L425" i="92"/>
  <c r="L424" i="92" s="1"/>
  <c r="F12" i="105"/>
  <c r="L392" i="92"/>
  <c r="L448" i="92" s="1"/>
  <c r="F38" i="105"/>
  <c r="F37" i="105" s="1"/>
  <c r="K425" i="92"/>
  <c r="K424" i="92" s="1"/>
  <c r="E12" i="105"/>
  <c r="K406" i="92"/>
  <c r="K449" i="92" s="1"/>
  <c r="E40" i="105"/>
  <c r="E39" i="105" s="1"/>
  <c r="K392" i="92"/>
  <c r="K448" i="92" s="1"/>
  <c r="E38" i="105"/>
  <c r="E37" i="105" s="1"/>
  <c r="K327" i="92"/>
  <c r="K445" i="92" s="1"/>
  <c r="E33" i="105"/>
  <c r="E31" i="105" s="1"/>
  <c r="E22" i="105"/>
  <c r="J170" i="94"/>
  <c r="K154" i="90"/>
  <c r="K153" i="90" s="1"/>
  <c r="K152" i="90" s="1"/>
  <c r="K151" i="90" s="1"/>
  <c r="K427" i="90" s="1"/>
  <c r="K170" i="94"/>
  <c r="L61" i="92"/>
  <c r="L60" i="92" s="1"/>
  <c r="F16" i="105" s="1"/>
  <c r="L151" i="92"/>
  <c r="L150" i="92" s="1"/>
  <c r="L149" i="92" s="1"/>
  <c r="F20" i="105" s="1"/>
  <c r="F19" i="105" s="1"/>
  <c r="L243" i="92"/>
  <c r="L341" i="92"/>
  <c r="L340" i="92" s="1"/>
  <c r="K341" i="92"/>
  <c r="K340" i="92" s="1"/>
  <c r="K151" i="92"/>
  <c r="K150" i="92" s="1"/>
  <c r="K149" i="92" s="1"/>
  <c r="J154" i="90"/>
  <c r="J153" i="90" s="1"/>
  <c r="J152" i="90" s="1"/>
  <c r="J151" i="90" s="1"/>
  <c r="K242" i="92"/>
  <c r="E28" i="105" s="1"/>
  <c r="K253" i="92"/>
  <c r="K252" i="92" s="1"/>
  <c r="E29" i="105" s="1"/>
  <c r="L192" i="92"/>
  <c r="L443" i="92" s="1"/>
  <c r="L14" i="92"/>
  <c r="F13" i="105" s="1"/>
  <c r="K60" i="92"/>
  <c r="E16" i="105" s="1"/>
  <c r="K192" i="92"/>
  <c r="K443" i="92" s="1"/>
  <c r="L253" i="92"/>
  <c r="J263" i="92"/>
  <c r="M263" i="92" s="1"/>
  <c r="J258" i="92"/>
  <c r="M258" i="92" s="1"/>
  <c r="J241" i="92"/>
  <c r="M241" i="92" s="1"/>
  <c r="J212" i="92"/>
  <c r="M212" i="92" s="1"/>
  <c r="J198" i="92"/>
  <c r="M198" i="92" s="1"/>
  <c r="L339" i="92" l="1"/>
  <c r="L446" i="92" s="1"/>
  <c r="F35" i="105"/>
  <c r="F34" i="105" s="1"/>
  <c r="F11" i="105"/>
  <c r="L148" i="92"/>
  <c r="L442" i="92" s="1"/>
  <c r="K339" i="92"/>
  <c r="K446" i="92" s="1"/>
  <c r="E35" i="105"/>
  <c r="E34" i="105" s="1"/>
  <c r="E26" i="105"/>
  <c r="K148" i="92"/>
  <c r="K442" i="92" s="1"/>
  <c r="E20" i="105"/>
  <c r="E19" i="105" s="1"/>
  <c r="L252" i="92"/>
  <c r="F29" i="105" s="1"/>
  <c r="F26" i="105" s="1"/>
  <c r="K224" i="92"/>
  <c r="K444" i="92" s="1"/>
  <c r="L13" i="92"/>
  <c r="K452" i="92"/>
  <c r="L452" i="92"/>
  <c r="J25" i="92"/>
  <c r="J28" i="92"/>
  <c r="F43" i="105" l="1"/>
  <c r="K28" i="92"/>
  <c r="J36" i="90" s="1"/>
  <c r="M28" i="92"/>
  <c r="K25" i="92"/>
  <c r="K24" i="92" s="1"/>
  <c r="M25" i="92"/>
  <c r="L224" i="92"/>
  <c r="L12" i="92" s="1"/>
  <c r="L440" i="92"/>
  <c r="J298" i="92"/>
  <c r="J33" i="90" l="1"/>
  <c r="J32" i="90" s="1"/>
  <c r="M298" i="92"/>
  <c r="C20" i="98"/>
  <c r="C22" i="98" s="1"/>
  <c r="L444" i="92"/>
  <c r="L451" i="92" s="1"/>
  <c r="L454" i="92" s="1"/>
  <c r="L439" i="92"/>
  <c r="J401" i="92"/>
  <c r="J376" i="92"/>
  <c r="M376" i="92" s="1"/>
  <c r="J345" i="92"/>
  <c r="M345" i="92" s="1"/>
  <c r="J346" i="92"/>
  <c r="M346" i="92" s="1"/>
  <c r="J260" i="92"/>
  <c r="M260" i="92" s="1"/>
  <c r="J229" i="92"/>
  <c r="M229" i="92" s="1"/>
  <c r="J208" i="92"/>
  <c r="M208" i="92" s="1"/>
  <c r="J204" i="92"/>
  <c r="M204" i="92" s="1"/>
  <c r="J197" i="92"/>
  <c r="M197" i="92" s="1"/>
  <c r="J84" i="92"/>
  <c r="M84" i="92" s="1"/>
  <c r="J78" i="92"/>
  <c r="M78" i="92" s="1"/>
  <c r="J66" i="92"/>
  <c r="M66" i="92" s="1"/>
  <c r="J331" i="92"/>
  <c r="M331" i="92" s="1"/>
  <c r="J268" i="92"/>
  <c r="M268" i="92" s="1"/>
  <c r="J206" i="92"/>
  <c r="M206" i="92" s="1"/>
  <c r="J138" i="92"/>
  <c r="M138" i="92" s="1"/>
  <c r="J108" i="92"/>
  <c r="M108" i="92" s="1"/>
  <c r="J73" i="92"/>
  <c r="M73" i="92" s="1"/>
  <c r="J64" i="92"/>
  <c r="M64" i="92" s="1"/>
  <c r="J29" i="92"/>
  <c r="J27" i="92"/>
  <c r="E20" i="104" l="1"/>
  <c r="E19" i="104" s="1"/>
  <c r="E18" i="104" s="1"/>
  <c r="E17" i="104" s="1"/>
  <c r="E12" i="104" s="1"/>
  <c r="E11" i="104" s="1"/>
  <c r="F28" i="107"/>
  <c r="F27" i="107" s="1"/>
  <c r="F26" i="107" s="1"/>
  <c r="F25" i="107" s="1"/>
  <c r="F20" i="107" s="1"/>
  <c r="F13" i="107" s="1"/>
  <c r="F44" i="105"/>
  <c r="K29" i="92"/>
  <c r="J37" i="90" s="1"/>
  <c r="M29" i="92"/>
  <c r="K27" i="92"/>
  <c r="M27" i="92"/>
  <c r="I18" i="102"/>
  <c r="I17" i="102" s="1"/>
  <c r="I16" i="102" s="1"/>
  <c r="I15" i="102" s="1"/>
  <c r="I14" i="102" s="1"/>
  <c r="I13" i="102" s="1"/>
  <c r="M401" i="92"/>
  <c r="N439" i="92"/>
  <c r="J35" i="90"/>
  <c r="K26" i="92"/>
  <c r="I40" i="94"/>
  <c r="I39" i="94"/>
  <c r="J34" i="90" l="1"/>
  <c r="J183" i="92"/>
  <c r="M183" i="92" s="1"/>
  <c r="I136" i="90" l="1"/>
  <c r="J98" i="92" l="1"/>
  <c r="M98" i="92" s="1"/>
  <c r="J132" i="92"/>
  <c r="J167" i="92"/>
  <c r="M167" i="92" s="1"/>
  <c r="J285" i="92"/>
  <c r="M285" i="92" s="1"/>
  <c r="I135" i="90" l="1"/>
  <c r="M132" i="92"/>
  <c r="J314" i="92"/>
  <c r="M314" i="92" s="1"/>
  <c r="J338" i="92"/>
  <c r="M338" i="92" s="1"/>
  <c r="J93" i="92" l="1"/>
  <c r="M93" i="92" s="1"/>
  <c r="I137" i="94" l="1"/>
  <c r="I106" i="90"/>
  <c r="I105" i="90" s="1"/>
  <c r="J99" i="92"/>
  <c r="M99" i="92" s="1"/>
  <c r="J102" i="92"/>
  <c r="I44" i="94"/>
  <c r="J205" i="92"/>
  <c r="M205" i="92" s="1"/>
  <c r="J101" i="92" l="1"/>
  <c r="M101" i="92" s="1"/>
  <c r="M102" i="92"/>
  <c r="I14" i="94"/>
  <c r="J63" i="92" l="1"/>
  <c r="M63" i="92" s="1"/>
  <c r="I70" i="90"/>
  <c r="I69" i="90" s="1"/>
  <c r="J196" i="92" l="1"/>
  <c r="M196" i="92" s="1"/>
  <c r="I138" i="94" l="1"/>
  <c r="I108" i="90" l="1"/>
  <c r="I107" i="90" s="1"/>
  <c r="J423" i="92"/>
  <c r="M423" i="92" s="1"/>
  <c r="J405" i="92"/>
  <c r="J370" i="92"/>
  <c r="M370" i="92" s="1"/>
  <c r="J246" i="92"/>
  <c r="M246" i="92" s="1"/>
  <c r="J178" i="92"/>
  <c r="M178" i="92" s="1"/>
  <c r="J164" i="92"/>
  <c r="M164" i="92" s="1"/>
  <c r="J161" i="92"/>
  <c r="M161" i="92" s="1"/>
  <c r="J159" i="92"/>
  <c r="M159" i="92" s="1"/>
  <c r="J97" i="92"/>
  <c r="M97" i="92" s="1"/>
  <c r="J70" i="92"/>
  <c r="M70" i="92" s="1"/>
  <c r="I24" i="102" l="1"/>
  <c r="I23" i="102" s="1"/>
  <c r="I22" i="102" s="1"/>
  <c r="I21" i="102" s="1"/>
  <c r="I20" i="102" s="1"/>
  <c r="I19" i="102" s="1"/>
  <c r="I25" i="102" s="1"/>
  <c r="M405" i="92"/>
  <c r="J251" i="92"/>
  <c r="M251" i="92" s="1"/>
  <c r="J59" i="92"/>
  <c r="J32" i="92"/>
  <c r="J31" i="92"/>
  <c r="K31" i="92" l="1"/>
  <c r="M31" i="92"/>
  <c r="K59" i="92"/>
  <c r="J65" i="90" s="1"/>
  <c r="J64" i="90" s="1"/>
  <c r="J63" i="90" s="1"/>
  <c r="J62" i="90" s="1"/>
  <c r="J61" i="90" s="1"/>
  <c r="M59" i="92"/>
  <c r="K32" i="92"/>
  <c r="J40" i="90" s="1"/>
  <c r="M32" i="92"/>
  <c r="J39" i="90"/>
  <c r="J38" i="90" s="1"/>
  <c r="J31" i="90" s="1"/>
  <c r="J27" i="90" s="1"/>
  <c r="J22" i="90" s="1"/>
  <c r="K30" i="92"/>
  <c r="K23" i="92" s="1"/>
  <c r="K19" i="92" s="1"/>
  <c r="K14" i="92" s="1"/>
  <c r="E13" i="105" s="1"/>
  <c r="J250" i="92"/>
  <c r="I254" i="90"/>
  <c r="I253" i="90" s="1"/>
  <c r="I252" i="90" s="1"/>
  <c r="I251" i="90" s="1"/>
  <c r="K58" i="92" l="1"/>
  <c r="K57" i="92" s="1"/>
  <c r="K56" i="92" s="1"/>
  <c r="K55" i="92" s="1"/>
  <c r="J249" i="92"/>
  <c r="M250" i="92"/>
  <c r="J13" i="90"/>
  <c r="J427" i="90" s="1"/>
  <c r="J302" i="92"/>
  <c r="J336" i="92"/>
  <c r="M336" i="92" l="1"/>
  <c r="C47" i="98"/>
  <c r="M302" i="92"/>
  <c r="C48" i="98"/>
  <c r="K13" i="92"/>
  <c r="E15" i="105"/>
  <c r="E11" i="105" s="1"/>
  <c r="E43" i="105" s="1"/>
  <c r="J248" i="92"/>
  <c r="M248" i="92" s="1"/>
  <c r="M249" i="92"/>
  <c r="K440" i="92"/>
  <c r="K451" i="92" s="1"/>
  <c r="K454" i="92" s="1"/>
  <c r="K12" i="92"/>
  <c r="K439" i="92" s="1"/>
  <c r="E28" i="107" s="1"/>
  <c r="E27" i="107" s="1"/>
  <c r="E26" i="107" s="1"/>
  <c r="E25" i="107" s="1"/>
  <c r="E20" i="107" s="1"/>
  <c r="E13" i="107" s="1"/>
  <c r="I40" i="90"/>
  <c r="I39" i="90"/>
  <c r="J30" i="92"/>
  <c r="M30" i="92" s="1"/>
  <c r="C49" i="98" l="1"/>
  <c r="D20" i="104"/>
  <c r="D19" i="104" s="1"/>
  <c r="D18" i="104" s="1"/>
  <c r="D17" i="104" s="1"/>
  <c r="D12" i="104" s="1"/>
  <c r="D11" i="104" s="1"/>
  <c r="E44" i="105"/>
  <c r="I38" i="90"/>
  <c r="I305" i="90"/>
  <c r="I304" i="90" s="1"/>
  <c r="I303" i="90" s="1"/>
  <c r="I302" i="90" s="1"/>
  <c r="J301" i="92"/>
  <c r="J300" i="92" l="1"/>
  <c r="M301" i="92"/>
  <c r="I274" i="90"/>
  <c r="I278" i="90"/>
  <c r="I250" i="90"/>
  <c r="J299" i="92" l="1"/>
  <c r="M299" i="92" s="1"/>
  <c r="M300" i="92"/>
  <c r="I79" i="94"/>
  <c r="I58" i="94"/>
  <c r="I62" i="94"/>
  <c r="J269" i="92"/>
  <c r="M269" i="92" s="1"/>
  <c r="I282" i="90" l="1"/>
  <c r="J413" i="92"/>
  <c r="I416" i="90" l="1"/>
  <c r="I415" i="90" s="1"/>
  <c r="M413" i="92"/>
  <c r="J412" i="92"/>
  <c r="I103" i="94" l="1"/>
  <c r="M412" i="92"/>
  <c r="J104" i="92"/>
  <c r="M104" i="92" s="1"/>
  <c r="I78" i="94"/>
  <c r="I77" i="94" s="1"/>
  <c r="J245" i="92" l="1"/>
  <c r="M245" i="92" s="1"/>
  <c r="I190" i="90"/>
  <c r="I189" i="90" s="1"/>
  <c r="I188" i="90" s="1"/>
  <c r="I187" i="90" s="1"/>
  <c r="J186" i="92"/>
  <c r="J185" i="92" l="1"/>
  <c r="M186" i="92"/>
  <c r="I201" i="90"/>
  <c r="I35" i="94"/>
  <c r="I34" i="94" s="1"/>
  <c r="I186" i="90"/>
  <c r="I185" i="90" s="1"/>
  <c r="I184" i="90" s="1"/>
  <c r="J182" i="92"/>
  <c r="I21" i="90"/>
  <c r="J430" i="92"/>
  <c r="M430" i="92" s="1"/>
  <c r="J181" i="92" l="1"/>
  <c r="M181" i="92" s="1"/>
  <c r="M182" i="92"/>
  <c r="J184" i="92"/>
  <c r="M184" i="92" s="1"/>
  <c r="M185" i="92"/>
  <c r="I96" i="94"/>
  <c r="I95" i="94" s="1"/>
  <c r="I356" i="90"/>
  <c r="I355" i="90" s="1"/>
  <c r="I354" i="90" s="1"/>
  <c r="I351" i="90"/>
  <c r="I353" i="90"/>
  <c r="I240" i="90"/>
  <c r="J363" i="92" l="1"/>
  <c r="M363" i="92" s="1"/>
  <c r="J352" i="92"/>
  <c r="J307" i="92"/>
  <c r="M307" i="92" s="1"/>
  <c r="J68" i="92"/>
  <c r="M68" i="92" s="1"/>
  <c r="J351" i="92" l="1"/>
  <c r="M351" i="92" s="1"/>
  <c r="M352" i="92"/>
  <c r="I113" i="94"/>
  <c r="I115" i="94"/>
  <c r="I169" i="94" l="1"/>
  <c r="I167" i="94"/>
  <c r="I165" i="94"/>
  <c r="I161" i="94"/>
  <c r="I159" i="94"/>
  <c r="I157" i="94"/>
  <c r="I155" i="94"/>
  <c r="I122" i="90"/>
  <c r="I150" i="94"/>
  <c r="I149" i="94"/>
  <c r="I148" i="94"/>
  <c r="I145" i="94"/>
  <c r="I144" i="94"/>
  <c r="I141" i="94"/>
  <c r="I139" i="94"/>
  <c r="I136" i="94"/>
  <c r="I135" i="94"/>
  <c r="I133" i="94"/>
  <c r="I131" i="94"/>
  <c r="I128" i="94"/>
  <c r="I126" i="94"/>
  <c r="I124" i="94"/>
  <c r="I121" i="94"/>
  <c r="I119" i="94"/>
  <c r="I117" i="94"/>
  <c r="I111" i="94"/>
  <c r="I107" i="94"/>
  <c r="I105" i="94"/>
  <c r="I104" i="94"/>
  <c r="I102" i="94"/>
  <c r="I100" i="94"/>
  <c r="I99" i="94"/>
  <c r="I98" i="94"/>
  <c r="I93" i="94"/>
  <c r="I94" i="94"/>
  <c r="I92" i="94"/>
  <c r="I91" i="94"/>
  <c r="I90" i="94"/>
  <c r="I87" i="94"/>
  <c r="I84" i="94"/>
  <c r="I82" i="94"/>
  <c r="I81" i="94"/>
  <c r="I76" i="94"/>
  <c r="I72" i="94"/>
  <c r="I73" i="94"/>
  <c r="I70" i="94"/>
  <c r="I69" i="94"/>
  <c r="I68" i="94"/>
  <c r="I66" i="94"/>
  <c r="I65" i="94"/>
  <c r="I64" i="94"/>
  <c r="I63" i="94"/>
  <c r="I61" i="94"/>
  <c r="I60" i="94"/>
  <c r="I59" i="94"/>
  <c r="I57" i="94"/>
  <c r="I56" i="94"/>
  <c r="I55" i="94"/>
  <c r="I54" i="94"/>
  <c r="I53" i="94"/>
  <c r="I50" i="94"/>
  <c r="I49" i="94"/>
  <c r="I47" i="94"/>
  <c r="I46" i="94"/>
  <c r="I45" i="94"/>
  <c r="I43" i="94"/>
  <c r="I42" i="94"/>
  <c r="I41" i="94"/>
  <c r="I36" i="94"/>
  <c r="I33" i="94"/>
  <c r="I32" i="94" s="1"/>
  <c r="I31" i="94"/>
  <c r="I30" i="94"/>
  <c r="I28" i="94"/>
  <c r="I26" i="94"/>
  <c r="I25" i="94"/>
  <c r="I24" i="94"/>
  <c r="I23" i="94"/>
  <c r="I22" i="94"/>
  <c r="I19" i="94"/>
  <c r="I17" i="94"/>
  <c r="I16" i="94"/>
  <c r="I426" i="90"/>
  <c r="I420" i="90"/>
  <c r="I418" i="90"/>
  <c r="I414" i="90"/>
  <c r="I408" i="90"/>
  <c r="I404" i="90"/>
  <c r="I394" i="90"/>
  <c r="I392" i="90"/>
  <c r="I390" i="90"/>
  <c r="I382" i="90"/>
  <c r="I381" i="90"/>
  <c r="I379" i="90"/>
  <c r="I373" i="90"/>
  <c r="I369" i="90"/>
  <c r="I366" i="90"/>
  <c r="I359" i="90"/>
  <c r="I349" i="90"/>
  <c r="I348" i="90"/>
  <c r="I347" i="90"/>
  <c r="I339" i="90"/>
  <c r="I334" i="90"/>
  <c r="I323" i="90"/>
  <c r="I320" i="90"/>
  <c r="I317" i="90"/>
  <c r="I312" i="90"/>
  <c r="I311" i="90"/>
  <c r="I310" i="90"/>
  <c r="I301" i="90"/>
  <c r="I288" i="90"/>
  <c r="I284" i="90"/>
  <c r="I280" i="90"/>
  <c r="I271" i="90"/>
  <c r="I269" i="90"/>
  <c r="I266" i="90"/>
  <c r="I263" i="90"/>
  <c r="I261" i="90"/>
  <c r="I259" i="90"/>
  <c r="I249" i="90"/>
  <c r="I248" i="90" s="1"/>
  <c r="I244" i="90"/>
  <c r="I232" i="90"/>
  <c r="I226" i="90"/>
  <c r="I220" i="90"/>
  <c r="I215" i="90"/>
  <c r="I211" i="90"/>
  <c r="I205" i="90"/>
  <c r="I200" i="90"/>
  <c r="I199" i="90" s="1"/>
  <c r="I181" i="90"/>
  <c r="I176" i="90"/>
  <c r="I170" i="90"/>
  <c r="I167" i="90"/>
  <c r="I164" i="90"/>
  <c r="I162" i="90"/>
  <c r="I156" i="90"/>
  <c r="I149" i="90"/>
  <c r="I143" i="90"/>
  <c r="I141" i="90"/>
  <c r="I131" i="90"/>
  <c r="I118" i="90"/>
  <c r="I114" i="90"/>
  <c r="I110" i="90"/>
  <c r="I104" i="90"/>
  <c r="I103" i="90"/>
  <c r="I99" i="90"/>
  <c r="I96" i="90"/>
  <c r="I93" i="90"/>
  <c r="I90" i="90"/>
  <c r="I87" i="90"/>
  <c r="I84" i="90"/>
  <c r="I79" i="90"/>
  <c r="I76" i="90"/>
  <c r="I74" i="90"/>
  <c r="I72" i="90"/>
  <c r="I65" i="90"/>
  <c r="I56" i="90"/>
  <c r="I51" i="90"/>
  <c r="I49" i="90"/>
  <c r="I47" i="90"/>
  <c r="I45" i="90"/>
  <c r="I37" i="90"/>
  <c r="I36" i="90"/>
  <c r="I35" i="90"/>
  <c r="I33" i="90"/>
  <c r="I30" i="90"/>
  <c r="I26" i="90"/>
  <c r="I18" i="90"/>
  <c r="I273" i="90"/>
  <c r="I272" i="90" s="1"/>
  <c r="I89" i="94" l="1"/>
  <c r="I134" i="94"/>
  <c r="I38" i="94"/>
  <c r="I101" i="94"/>
  <c r="I48" i="90"/>
  <c r="I52" i="94"/>
  <c r="I380" i="90"/>
  <c r="J377" i="92" l="1"/>
  <c r="M377" i="92" s="1"/>
  <c r="I88" i="94" l="1"/>
  <c r="I86" i="94" s="1"/>
  <c r="I341" i="90"/>
  <c r="I168" i="94" l="1"/>
  <c r="I166" i="94"/>
  <c r="I164" i="94"/>
  <c r="I160" i="94"/>
  <c r="I158" i="94"/>
  <c r="I156" i="94"/>
  <c r="I154" i="94"/>
  <c r="I152" i="94"/>
  <c r="I147" i="94"/>
  <c r="I146" i="94" s="1"/>
  <c r="I143" i="94"/>
  <c r="I142" i="94" s="1"/>
  <c r="I140" i="94"/>
  <c r="I132" i="94"/>
  <c r="I130" i="94"/>
  <c r="I127" i="94"/>
  <c r="I125" i="94"/>
  <c r="I123" i="94"/>
  <c r="I120" i="94"/>
  <c r="I118" i="94"/>
  <c r="I116" i="94"/>
  <c r="I114" i="94"/>
  <c r="I112" i="94"/>
  <c r="I110" i="94"/>
  <c r="I106" i="94"/>
  <c r="I97" i="94"/>
  <c r="I83" i="94"/>
  <c r="I80" i="94"/>
  <c r="I75" i="94"/>
  <c r="I71" i="94"/>
  <c r="I67" i="94"/>
  <c r="I27" i="94"/>
  <c r="I21" i="94"/>
  <c r="I18" i="94"/>
  <c r="J437" i="92"/>
  <c r="J431" i="92"/>
  <c r="M431" i="92" s="1"/>
  <c r="J429" i="92"/>
  <c r="M429" i="92" s="1"/>
  <c r="J422" i="92"/>
  <c r="J416" i="92"/>
  <c r="M416" i="92" s="1"/>
  <c r="J414" i="92"/>
  <c r="M414" i="92" s="1"/>
  <c r="J410" i="92"/>
  <c r="M410" i="92" s="1"/>
  <c r="J404" i="92"/>
  <c r="J400" i="92"/>
  <c r="J396" i="92"/>
  <c r="J390" i="92"/>
  <c r="M390" i="92" s="1"/>
  <c r="J388" i="92"/>
  <c r="M388" i="92" s="1"/>
  <c r="J386" i="92"/>
  <c r="M386" i="92" s="1"/>
  <c r="J375" i="92"/>
  <c r="M375" i="92" s="1"/>
  <c r="J373" i="92"/>
  <c r="J369" i="92"/>
  <c r="J365" i="92"/>
  <c r="J362" i="92"/>
  <c r="J357" i="92"/>
  <c r="M357" i="92" s="1"/>
  <c r="J355" i="92"/>
  <c r="M355" i="92" s="1"/>
  <c r="J347" i="92"/>
  <c r="M347" i="92" s="1"/>
  <c r="J349" i="92"/>
  <c r="M349" i="92" s="1"/>
  <c r="J343" i="92"/>
  <c r="M343" i="92" s="1"/>
  <c r="J335" i="92"/>
  <c r="M335" i="92" s="1"/>
  <c r="J337" i="92"/>
  <c r="M337" i="92" s="1"/>
  <c r="J330" i="92"/>
  <c r="J319" i="92"/>
  <c r="J316" i="92"/>
  <c r="J313" i="92"/>
  <c r="J306" i="92"/>
  <c r="J297" i="92"/>
  <c r="J294" i="92"/>
  <c r="J291" i="92"/>
  <c r="J286" i="92"/>
  <c r="M286" i="92" s="1"/>
  <c r="J284" i="92"/>
  <c r="M284" i="92" s="1"/>
  <c r="J282" i="92"/>
  <c r="M282" i="92" s="1"/>
  <c r="J280" i="92"/>
  <c r="M280" i="92" s="1"/>
  <c r="J278" i="92"/>
  <c r="M278" i="92" s="1"/>
  <c r="J276" i="92"/>
  <c r="M276" i="92" s="1"/>
  <c r="J274" i="92"/>
  <c r="M274" i="92" s="1"/>
  <c r="J272" i="92"/>
  <c r="M272" i="92" s="1"/>
  <c r="J267" i="92"/>
  <c r="M267" i="92" s="1"/>
  <c r="J265" i="92"/>
  <c r="M265" i="92" s="1"/>
  <c r="J262" i="92"/>
  <c r="M262" i="92" s="1"/>
  <c r="J259" i="92"/>
  <c r="J257" i="92"/>
  <c r="M257" i="92" s="1"/>
  <c r="J255" i="92"/>
  <c r="M255" i="92" s="1"/>
  <c r="J244" i="92"/>
  <c r="J240" i="92"/>
  <c r="J236" i="92"/>
  <c r="J233" i="92"/>
  <c r="M233" i="92" s="1"/>
  <c r="J231" i="92"/>
  <c r="M231" i="92" s="1"/>
  <c r="J228" i="92"/>
  <c r="J222" i="92"/>
  <c r="M222" i="92" s="1"/>
  <c r="J220" i="92"/>
  <c r="M220" i="92" s="1"/>
  <c r="J216" i="92"/>
  <c r="J211" i="92"/>
  <c r="M211" i="92" s="1"/>
  <c r="J209" i="92"/>
  <c r="M209" i="92" s="1"/>
  <c r="J207" i="92"/>
  <c r="M207" i="92" s="1"/>
  <c r="J203" i="92"/>
  <c r="M203" i="92" s="1"/>
  <c r="J201" i="92"/>
  <c r="M201" i="92" s="1"/>
  <c r="J199" i="92"/>
  <c r="M199" i="92" s="1"/>
  <c r="J190" i="92"/>
  <c r="J179" i="92"/>
  <c r="M179" i="92" s="1"/>
  <c r="J177" i="92"/>
  <c r="M177" i="92" s="1"/>
  <c r="J172" i="92"/>
  <c r="J168" i="92"/>
  <c r="M168" i="92" s="1"/>
  <c r="J166" i="92"/>
  <c r="M166" i="92" s="1"/>
  <c r="J163" i="92"/>
  <c r="J160" i="92"/>
  <c r="M160" i="92" s="1"/>
  <c r="J158" i="92"/>
  <c r="M158" i="92" s="1"/>
  <c r="J156" i="92"/>
  <c r="M156" i="92" s="1"/>
  <c r="J154" i="92"/>
  <c r="M154" i="92" s="1"/>
  <c r="J152" i="92"/>
  <c r="M152" i="92" s="1"/>
  <c r="J145" i="92"/>
  <c r="J139" i="92"/>
  <c r="M139" i="92" s="1"/>
  <c r="J137" i="92"/>
  <c r="M137" i="92" s="1"/>
  <c r="J131" i="92"/>
  <c r="J127" i="92"/>
  <c r="J124" i="92"/>
  <c r="J121" i="92"/>
  <c r="J118" i="92"/>
  <c r="J115" i="92"/>
  <c r="J111" i="92"/>
  <c r="J107" i="92"/>
  <c r="J103" i="92"/>
  <c r="M103" i="92" s="1"/>
  <c r="J96" i="92"/>
  <c r="M96" i="92" s="1"/>
  <c r="J92" i="92"/>
  <c r="J89" i="92"/>
  <c r="J86" i="92"/>
  <c r="J83" i="92"/>
  <c r="J80" i="92"/>
  <c r="J77" i="92"/>
  <c r="J72" i="92"/>
  <c r="J69" i="92"/>
  <c r="M69" i="92" s="1"/>
  <c r="J67" i="92"/>
  <c r="M67" i="92" s="1"/>
  <c r="J65" i="92"/>
  <c r="M65" i="92" s="1"/>
  <c r="J58" i="92"/>
  <c r="J53" i="92"/>
  <c r="J49" i="92"/>
  <c r="J44" i="92"/>
  <c r="M44" i="92" s="1"/>
  <c r="J42" i="92"/>
  <c r="M42" i="92" s="1"/>
  <c r="J40" i="92"/>
  <c r="M40" i="92" s="1"/>
  <c r="J38" i="92"/>
  <c r="M38" i="92" s="1"/>
  <c r="J26" i="92"/>
  <c r="M26" i="92" s="1"/>
  <c r="J24" i="92"/>
  <c r="M24" i="92" s="1"/>
  <c r="J21" i="92"/>
  <c r="J17" i="92"/>
  <c r="I71" i="90"/>
  <c r="I425" i="90"/>
  <c r="I424" i="90" s="1"/>
  <c r="I423" i="90" s="1"/>
  <c r="I422" i="90" s="1"/>
  <c r="I421" i="90" s="1"/>
  <c r="I419" i="90"/>
  <c r="I417" i="90"/>
  <c r="I413" i="90"/>
  <c r="I407" i="90"/>
  <c r="I406" i="90" s="1"/>
  <c r="I405" i="90" s="1"/>
  <c r="I403" i="90"/>
  <c r="I402" i="90" s="1"/>
  <c r="I401" i="90" s="1"/>
  <c r="I399" i="90"/>
  <c r="I398" i="90" s="1"/>
  <c r="I397" i="90" s="1"/>
  <c r="I393" i="90"/>
  <c r="I391" i="90"/>
  <c r="I389" i="90"/>
  <c r="I378" i="90"/>
  <c r="I375" i="90" s="1"/>
  <c r="I376" i="90"/>
  <c r="I372" i="90"/>
  <c r="I371" i="90" s="1"/>
  <c r="I370" i="90" s="1"/>
  <c r="I368" i="90"/>
  <c r="I367" i="90" s="1"/>
  <c r="I365" i="90"/>
  <c r="I360" i="90"/>
  <c r="I358" i="90"/>
  <c r="I350" i="90"/>
  <c r="I352" i="90"/>
  <c r="I346" i="90"/>
  <c r="I338" i="90"/>
  <c r="I340" i="90"/>
  <c r="I333" i="90"/>
  <c r="I332" i="90" s="1"/>
  <c r="I331" i="90" s="1"/>
  <c r="I328" i="90"/>
  <c r="I327" i="90" s="1"/>
  <c r="I326" i="90" s="1"/>
  <c r="I325" i="90" s="1"/>
  <c r="I324" i="90" s="1"/>
  <c r="I322" i="90"/>
  <c r="I321" i="90" s="1"/>
  <c r="I319" i="90"/>
  <c r="I318" i="90" s="1"/>
  <c r="I316" i="90"/>
  <c r="I315" i="90" s="1"/>
  <c r="I309" i="90"/>
  <c r="I308" i="90" s="1"/>
  <c r="I307" i="90" s="1"/>
  <c r="I300" i="90"/>
  <c r="I299" i="90" s="1"/>
  <c r="I297" i="90"/>
  <c r="I296" i="90" s="1"/>
  <c r="I294" i="90"/>
  <c r="I293" i="90" s="1"/>
  <c r="I289" i="90"/>
  <c r="I287" i="90"/>
  <c r="I285" i="90"/>
  <c r="I283" i="90"/>
  <c r="I281" i="90"/>
  <c r="I279" i="90"/>
  <c r="I277" i="90"/>
  <c r="I275" i="90"/>
  <c r="I270" i="90"/>
  <c r="I268" i="90"/>
  <c r="I265" i="90"/>
  <c r="I262" i="90"/>
  <c r="I260" i="90"/>
  <c r="I258" i="90"/>
  <c r="I247" i="90"/>
  <c r="I246" i="90" s="1"/>
  <c r="I245" i="90" s="1"/>
  <c r="I243" i="90"/>
  <c r="I242" i="90" s="1"/>
  <c r="I241" i="90" s="1"/>
  <c r="I239" i="90"/>
  <c r="I238" i="90" s="1"/>
  <c r="I236" i="90"/>
  <c r="I234" i="90"/>
  <c r="I231" i="90"/>
  <c r="I230" i="90" s="1"/>
  <c r="I225" i="90"/>
  <c r="I223" i="90"/>
  <c r="I219" i="90"/>
  <c r="I218" i="90" s="1"/>
  <c r="I217" i="90" s="1"/>
  <c r="I216" i="90" s="1"/>
  <c r="I214" i="90"/>
  <c r="I212" i="90"/>
  <c r="I204" i="90"/>
  <c r="I202" i="90"/>
  <c r="I193" i="90"/>
  <c r="I192" i="90" s="1"/>
  <c r="I191" i="90" s="1"/>
  <c r="I182" i="90"/>
  <c r="I180" i="90"/>
  <c r="I175" i="90"/>
  <c r="I174" i="90" s="1"/>
  <c r="I173" i="90" s="1"/>
  <c r="I171" i="90"/>
  <c r="I169" i="90"/>
  <c r="I166" i="90"/>
  <c r="I165" i="90" s="1"/>
  <c r="I163" i="90"/>
  <c r="I161" i="90"/>
  <c r="I159" i="90"/>
  <c r="I157" i="90"/>
  <c r="I155" i="90"/>
  <c r="I148" i="90"/>
  <c r="I147" i="90" s="1"/>
  <c r="I146" i="90" s="1"/>
  <c r="I145" i="90" s="1"/>
  <c r="I144" i="90" s="1"/>
  <c r="I142" i="90"/>
  <c r="I140" i="90"/>
  <c r="I134" i="90"/>
  <c r="I133" i="90" s="1"/>
  <c r="I132" i="90" s="1"/>
  <c r="I130" i="90"/>
  <c r="I129" i="90" s="1"/>
  <c r="I128" i="90" s="1"/>
  <c r="I126" i="90"/>
  <c r="I124" i="90"/>
  <c r="I123" i="90" s="1"/>
  <c r="I121" i="90"/>
  <c r="I120" i="90" s="1"/>
  <c r="I117" i="90"/>
  <c r="I116" i="90" s="1"/>
  <c r="I115" i="90" s="1"/>
  <c r="I113" i="90"/>
  <c r="I112" i="90" s="1"/>
  <c r="I111" i="90" s="1"/>
  <c r="I109" i="90"/>
  <c r="I102" i="90"/>
  <c r="I98" i="90"/>
  <c r="I97" i="90" s="1"/>
  <c r="I95" i="90"/>
  <c r="I94" i="90" s="1"/>
  <c r="I92" i="90"/>
  <c r="I91" i="90" s="1"/>
  <c r="I89" i="90"/>
  <c r="I88" i="90" s="1"/>
  <c r="I86" i="90"/>
  <c r="I85" i="90" s="1"/>
  <c r="I83" i="90"/>
  <c r="I82" i="90" s="1"/>
  <c r="I78" i="90"/>
  <c r="I77" i="90" s="1"/>
  <c r="I75" i="90"/>
  <c r="I73" i="90"/>
  <c r="I64" i="90"/>
  <c r="I63" i="90" s="1"/>
  <c r="I62" i="90" s="1"/>
  <c r="I61" i="90" s="1"/>
  <c r="I59" i="90"/>
  <c r="I58" i="90" s="1"/>
  <c r="I57" i="90" s="1"/>
  <c r="I55" i="90"/>
  <c r="I54" i="90" s="1"/>
  <c r="I53" i="90" s="1"/>
  <c r="I52" i="90" s="1"/>
  <c r="I50" i="90"/>
  <c r="I46" i="90"/>
  <c r="I44" i="90"/>
  <c r="I34" i="90"/>
  <c r="I32" i="90"/>
  <c r="I29" i="90"/>
  <c r="I28" i="90" s="1"/>
  <c r="I25" i="90"/>
  <c r="I24" i="90" s="1"/>
  <c r="I23" i="90" s="1"/>
  <c r="I19" i="90"/>
  <c r="I17" i="90" s="1"/>
  <c r="I16" i="90" s="1"/>
  <c r="I15" i="90" s="1"/>
  <c r="I14" i="90" s="1"/>
  <c r="I345" i="90" l="1"/>
  <c r="I337" i="90"/>
  <c r="J20" i="92"/>
  <c r="M20" i="92" s="1"/>
  <c r="M21" i="92"/>
  <c r="J52" i="92"/>
  <c r="M53" i="92"/>
  <c r="J82" i="92"/>
  <c r="M82" i="92" s="1"/>
  <c r="M83" i="92"/>
  <c r="J114" i="92"/>
  <c r="M114" i="92" s="1"/>
  <c r="M115" i="92"/>
  <c r="J126" i="92"/>
  <c r="M126" i="92" s="1"/>
  <c r="M127" i="92"/>
  <c r="J144" i="92"/>
  <c r="M145" i="92"/>
  <c r="J189" i="92"/>
  <c r="M190" i="92"/>
  <c r="J296" i="92"/>
  <c r="M296" i="92" s="1"/>
  <c r="M297" i="92"/>
  <c r="J318" i="92"/>
  <c r="M318" i="92" s="1"/>
  <c r="M319" i="92"/>
  <c r="J368" i="92"/>
  <c r="M369" i="92"/>
  <c r="J403" i="92"/>
  <c r="M404" i="92"/>
  <c r="J421" i="92"/>
  <c r="M422" i="92"/>
  <c r="J235" i="92"/>
  <c r="M235" i="92" s="1"/>
  <c r="M236" i="92"/>
  <c r="J305" i="92"/>
  <c r="M306" i="92"/>
  <c r="J372" i="92"/>
  <c r="M372" i="92" s="1"/>
  <c r="M373" i="92"/>
  <c r="J71" i="92"/>
  <c r="M71" i="92" s="1"/>
  <c r="M72" i="92"/>
  <c r="J117" i="92"/>
  <c r="M117" i="92" s="1"/>
  <c r="M118" i="92"/>
  <c r="J76" i="92"/>
  <c r="M76" i="92" s="1"/>
  <c r="M77" i="92"/>
  <c r="J88" i="92"/>
  <c r="M88" i="92" s="1"/>
  <c r="M89" i="92"/>
  <c r="J106" i="92"/>
  <c r="M107" i="92"/>
  <c r="J120" i="92"/>
  <c r="M120" i="92" s="1"/>
  <c r="M121" i="92"/>
  <c r="J162" i="92"/>
  <c r="M162" i="92" s="1"/>
  <c r="M163" i="92"/>
  <c r="J227" i="92"/>
  <c r="M227" i="92" s="1"/>
  <c r="M228" i="92"/>
  <c r="J239" i="92"/>
  <c r="M240" i="92"/>
  <c r="I51" i="94"/>
  <c r="I48" i="94" s="1"/>
  <c r="I37" i="94" s="1"/>
  <c r="M259" i="92"/>
  <c r="J290" i="92"/>
  <c r="M290" i="92" s="1"/>
  <c r="M291" i="92"/>
  <c r="J312" i="92"/>
  <c r="M312" i="92" s="1"/>
  <c r="M313" i="92"/>
  <c r="J329" i="92"/>
  <c r="M330" i="92"/>
  <c r="J361" i="92"/>
  <c r="M361" i="92" s="1"/>
  <c r="M362" i="92"/>
  <c r="J395" i="92"/>
  <c r="M396" i="92"/>
  <c r="J57" i="92"/>
  <c r="M58" i="92"/>
  <c r="J85" i="92"/>
  <c r="M85" i="92" s="1"/>
  <c r="M86" i="92"/>
  <c r="J130" i="92"/>
  <c r="M131" i="92"/>
  <c r="J171" i="92"/>
  <c r="M172" i="92"/>
  <c r="J16" i="92"/>
  <c r="M17" i="92"/>
  <c r="J48" i="92"/>
  <c r="M49" i="92"/>
  <c r="J79" i="92"/>
  <c r="M79" i="92" s="1"/>
  <c r="M80" i="92"/>
  <c r="J91" i="92"/>
  <c r="M91" i="92" s="1"/>
  <c r="M92" i="92"/>
  <c r="J110" i="92"/>
  <c r="M111" i="92"/>
  <c r="J123" i="92"/>
  <c r="M123" i="92" s="1"/>
  <c r="M124" i="92"/>
  <c r="J215" i="92"/>
  <c r="M216" i="92"/>
  <c r="J242" i="92"/>
  <c r="M244" i="92"/>
  <c r="J293" i="92"/>
  <c r="M293" i="92" s="1"/>
  <c r="M294" i="92"/>
  <c r="J315" i="92"/>
  <c r="M315" i="92" s="1"/>
  <c r="M316" i="92"/>
  <c r="J364" i="92"/>
  <c r="M364" i="92" s="1"/>
  <c r="M365" i="92"/>
  <c r="J399" i="92"/>
  <c r="M400" i="92"/>
  <c r="J436" i="92"/>
  <c r="M437" i="92"/>
  <c r="J334" i="92"/>
  <c r="M334" i="92" s="1"/>
  <c r="J62" i="92"/>
  <c r="I101" i="90"/>
  <c r="I100" i="90" s="1"/>
  <c r="I264" i="90"/>
  <c r="I198" i="90"/>
  <c r="I197" i="90" s="1"/>
  <c r="I196" i="90" s="1"/>
  <c r="J261" i="92"/>
  <c r="M261" i="92" s="1"/>
  <c r="J95" i="92"/>
  <c r="J23" i="92"/>
  <c r="J195" i="92"/>
  <c r="J136" i="92"/>
  <c r="I15" i="94"/>
  <c r="I13" i="94" s="1"/>
  <c r="I12" i="94" s="1"/>
  <c r="I68" i="90"/>
  <c r="I67" i="90" s="1"/>
  <c r="I31" i="90"/>
  <c r="I27" i="90" s="1"/>
  <c r="I139" i="90"/>
  <c r="I138" i="90" s="1"/>
  <c r="J176" i="92"/>
  <c r="J409" i="92"/>
  <c r="I412" i="90"/>
  <c r="I411" i="90" s="1"/>
  <c r="I410" i="90" s="1"/>
  <c r="I409" i="90" s="1"/>
  <c r="J243" i="92"/>
  <c r="M243" i="92" s="1"/>
  <c r="I179" i="90"/>
  <c r="I178" i="90" s="1"/>
  <c r="I177" i="90" s="1"/>
  <c r="J342" i="92"/>
  <c r="M342" i="92" s="1"/>
  <c r="I129" i="94"/>
  <c r="I374" i="90"/>
  <c r="J371" i="92"/>
  <c r="M371" i="92" s="1"/>
  <c r="I74" i="94"/>
  <c r="I222" i="90"/>
  <c r="I221" i="90" s="1"/>
  <c r="I336" i="90"/>
  <c r="I335" i="90" s="1"/>
  <c r="I330" i="90" s="1"/>
  <c r="I233" i="90"/>
  <c r="I229" i="90" s="1"/>
  <c r="I228" i="90" s="1"/>
  <c r="I388" i="90"/>
  <c r="I387" i="90" s="1"/>
  <c r="I386" i="90" s="1"/>
  <c r="I29" i="94"/>
  <c r="I20" i="94" s="1"/>
  <c r="J354" i="92"/>
  <c r="M354" i="92" s="1"/>
  <c r="J385" i="92"/>
  <c r="I163" i="94"/>
  <c r="I162" i="94" s="1"/>
  <c r="I151" i="94"/>
  <c r="I122" i="94"/>
  <c r="I109" i="94"/>
  <c r="I85" i="94"/>
  <c r="J428" i="92"/>
  <c r="J254" i="92"/>
  <c r="M254" i="92" s="1"/>
  <c r="J230" i="92"/>
  <c r="J219" i="92"/>
  <c r="J165" i="92"/>
  <c r="M165" i="92" s="1"/>
  <c r="J151" i="92"/>
  <c r="M151" i="92" s="1"/>
  <c r="J34" i="92"/>
  <c r="J311" i="92"/>
  <c r="I119" i="90"/>
  <c r="I357" i="90"/>
  <c r="I257" i="90"/>
  <c r="I168" i="90"/>
  <c r="I154" i="90"/>
  <c r="I42" i="90"/>
  <c r="I41" i="90" s="1"/>
  <c r="I81" i="90"/>
  <c r="I80" i="90" s="1"/>
  <c r="I363" i="90"/>
  <c r="I362" i="90" s="1"/>
  <c r="I364" i="90"/>
  <c r="I396" i="90"/>
  <c r="I395" i="90" s="1"/>
  <c r="I292" i="90"/>
  <c r="I291" i="90" s="1"/>
  <c r="I314" i="90"/>
  <c r="I313" i="90" s="1"/>
  <c r="I306" i="90" s="1"/>
  <c r="J360" i="92" l="1"/>
  <c r="M242" i="92"/>
  <c r="D28" i="105"/>
  <c r="J359" i="92"/>
  <c r="M359" i="92" s="1"/>
  <c r="M360" i="92"/>
  <c r="J408" i="92"/>
  <c r="M409" i="92"/>
  <c r="J19" i="92"/>
  <c r="M19" i="92" s="1"/>
  <c r="M23" i="92"/>
  <c r="J398" i="92"/>
  <c r="M398" i="92" s="1"/>
  <c r="M399" i="92"/>
  <c r="J47" i="92"/>
  <c r="M48" i="92"/>
  <c r="J170" i="92"/>
  <c r="M170" i="92" s="1"/>
  <c r="M171" i="92"/>
  <c r="J394" i="92"/>
  <c r="M395" i="92"/>
  <c r="J328" i="92"/>
  <c r="M329" i="92"/>
  <c r="J238" i="92"/>
  <c r="M238" i="92" s="1"/>
  <c r="M239" i="92"/>
  <c r="J105" i="92"/>
  <c r="M105" i="92" s="1"/>
  <c r="M106" i="92"/>
  <c r="J402" i="92"/>
  <c r="M402" i="92" s="1"/>
  <c r="M403" i="92"/>
  <c r="J188" i="92"/>
  <c r="M188" i="92" s="1"/>
  <c r="M189" i="92"/>
  <c r="J333" i="92"/>
  <c r="J175" i="92"/>
  <c r="M176" i="92"/>
  <c r="J75" i="92"/>
  <c r="J310" i="92"/>
  <c r="M311" i="92"/>
  <c r="J218" i="92"/>
  <c r="M219" i="92"/>
  <c r="J427" i="92"/>
  <c r="M428" i="92"/>
  <c r="J384" i="92"/>
  <c r="M385" i="92"/>
  <c r="J135" i="92"/>
  <c r="M135" i="92" s="1"/>
  <c r="M136" i="92"/>
  <c r="J94" i="92"/>
  <c r="M94" i="92" s="1"/>
  <c r="M95" i="92"/>
  <c r="J435" i="92"/>
  <c r="M436" i="92"/>
  <c r="J214" i="92"/>
  <c r="M215" i="92"/>
  <c r="J109" i="92"/>
  <c r="M109" i="92" s="1"/>
  <c r="M110" i="92"/>
  <c r="J15" i="92"/>
  <c r="M15" i="92" s="1"/>
  <c r="M16" i="92"/>
  <c r="J129" i="92"/>
  <c r="M129" i="92" s="1"/>
  <c r="M130" i="92"/>
  <c r="J56" i="92"/>
  <c r="M57" i="92"/>
  <c r="J304" i="92"/>
  <c r="M304" i="92" s="1"/>
  <c r="M305" i="92"/>
  <c r="J420" i="92"/>
  <c r="M421" i="92"/>
  <c r="J367" i="92"/>
  <c r="M367" i="92" s="1"/>
  <c r="M368" i="92"/>
  <c r="J143" i="92"/>
  <c r="M144" i="92"/>
  <c r="J51" i="92"/>
  <c r="M51" i="92" s="1"/>
  <c r="M52" i="92"/>
  <c r="J33" i="92"/>
  <c r="M33" i="92" s="1"/>
  <c r="M34" i="92"/>
  <c r="J226" i="92"/>
  <c r="M230" i="92"/>
  <c r="J113" i="92"/>
  <c r="M113" i="92" s="1"/>
  <c r="J289" i="92"/>
  <c r="J194" i="92"/>
  <c r="M195" i="92"/>
  <c r="J61" i="92"/>
  <c r="M61" i="92" s="1"/>
  <c r="M62" i="92"/>
  <c r="I66" i="90"/>
  <c r="J341" i="92"/>
  <c r="I195" i="90"/>
  <c r="I108" i="94"/>
  <c r="I170" i="94" s="1"/>
  <c r="I22" i="90"/>
  <c r="I344" i="90"/>
  <c r="I343" i="90" s="1"/>
  <c r="I342" i="90" s="1"/>
  <c r="I153" i="90"/>
  <c r="I152" i="90" s="1"/>
  <c r="I151" i="90" s="1"/>
  <c r="J253" i="92"/>
  <c r="J150" i="92"/>
  <c r="I256" i="90"/>
  <c r="I255" i="90" s="1"/>
  <c r="M328" i="92" l="1"/>
  <c r="D32" i="105"/>
  <c r="J14" i="92"/>
  <c r="M14" i="92" s="1"/>
  <c r="M218" i="92"/>
  <c r="D25" i="105"/>
  <c r="D13" i="105"/>
  <c r="J174" i="92"/>
  <c r="M175" i="92"/>
  <c r="M253" i="92"/>
  <c r="J193" i="92"/>
  <c r="M194" i="92"/>
  <c r="J225" i="92"/>
  <c r="M226" i="92"/>
  <c r="J434" i="92"/>
  <c r="M434" i="92" s="1"/>
  <c r="M435" i="92"/>
  <c r="J426" i="92"/>
  <c r="D12" i="105" s="1"/>
  <c r="M427" i="92"/>
  <c r="J303" i="92"/>
  <c r="M310" i="92"/>
  <c r="J332" i="92"/>
  <c r="D33" i="105" s="1"/>
  <c r="M333" i="92"/>
  <c r="J407" i="92"/>
  <c r="D40" i="105" s="1"/>
  <c r="D39" i="105" s="1"/>
  <c r="M408" i="92"/>
  <c r="J288" i="92"/>
  <c r="M288" i="92" s="1"/>
  <c r="M289" i="92"/>
  <c r="J74" i="92"/>
  <c r="M75" i="92"/>
  <c r="J149" i="92"/>
  <c r="D20" i="105" s="1"/>
  <c r="M150" i="92"/>
  <c r="J340" i="92"/>
  <c r="D35" i="105" s="1"/>
  <c r="M341" i="92"/>
  <c r="J142" i="92"/>
  <c r="M143" i="92"/>
  <c r="J419" i="92"/>
  <c r="D42" i="105" s="1"/>
  <c r="D41" i="105" s="1"/>
  <c r="M420" i="92"/>
  <c r="J55" i="92"/>
  <c r="M56" i="92"/>
  <c r="J213" i="92"/>
  <c r="M214" i="92"/>
  <c r="J383" i="92"/>
  <c r="M384" i="92"/>
  <c r="M394" i="92"/>
  <c r="J393" i="92"/>
  <c r="D38" i="105" s="1"/>
  <c r="D37" i="105" s="1"/>
  <c r="J46" i="92"/>
  <c r="M47" i="92"/>
  <c r="I227" i="90"/>
  <c r="I13" i="90"/>
  <c r="D23" i="105" l="1"/>
  <c r="B16" i="103"/>
  <c r="B17" i="103" s="1"/>
  <c r="M46" i="92"/>
  <c r="D14" i="105"/>
  <c r="M383" i="92"/>
  <c r="D36" i="105"/>
  <c r="M303" i="92"/>
  <c r="D30" i="105"/>
  <c r="D31" i="105"/>
  <c r="D34" i="105"/>
  <c r="M213" i="92"/>
  <c r="D24" i="105"/>
  <c r="D22" i="105" s="1"/>
  <c r="M55" i="92"/>
  <c r="D15" i="105"/>
  <c r="M225" i="92"/>
  <c r="D27" i="105"/>
  <c r="M174" i="92"/>
  <c r="D21" i="105"/>
  <c r="D19" i="105" s="1"/>
  <c r="J392" i="92"/>
  <c r="M393" i="92"/>
  <c r="J141" i="92"/>
  <c r="M142" i="92"/>
  <c r="J252" i="92"/>
  <c r="D29" i="105" s="1"/>
  <c r="J148" i="92"/>
  <c r="M149" i="92"/>
  <c r="J327" i="92"/>
  <c r="M332" i="92"/>
  <c r="J425" i="92"/>
  <c r="M426" i="92"/>
  <c r="J452" i="92"/>
  <c r="J418" i="92"/>
  <c r="M419" i="92"/>
  <c r="J339" i="92"/>
  <c r="M340" i="92"/>
  <c r="M74" i="92"/>
  <c r="J60" i="92"/>
  <c r="D16" i="105" s="1"/>
  <c r="J406" i="92"/>
  <c r="M407" i="92"/>
  <c r="M193" i="92"/>
  <c r="J192" i="92"/>
  <c r="I427" i="90"/>
  <c r="D26" i="105" l="1"/>
  <c r="D43" i="105" s="1"/>
  <c r="J449" i="92"/>
  <c r="M406" i="92"/>
  <c r="J446" i="92"/>
  <c r="M339" i="92"/>
  <c r="M252" i="92"/>
  <c r="J224" i="92"/>
  <c r="J448" i="92"/>
  <c r="M392" i="92"/>
  <c r="J443" i="92"/>
  <c r="M192" i="92"/>
  <c r="M60" i="92"/>
  <c r="J13" i="92"/>
  <c r="J445" i="92"/>
  <c r="M327" i="92"/>
  <c r="J450" i="92"/>
  <c r="M418" i="92"/>
  <c r="J441" i="92"/>
  <c r="M141" i="92"/>
  <c r="J424" i="92"/>
  <c r="M424" i="92" s="1"/>
  <c r="M425" i="92"/>
  <c r="J442" i="92"/>
  <c r="M148" i="92"/>
  <c r="M13" i="92" l="1"/>
  <c r="J440" i="92"/>
  <c r="J12" i="92"/>
  <c r="J444" i="92"/>
  <c r="M224" i="92"/>
  <c r="M12" i="92" l="1"/>
  <c r="J439" i="92"/>
  <c r="J451" i="92"/>
  <c r="J454" i="92" s="1"/>
  <c r="D44" i="105" l="1"/>
  <c r="D28" i="107"/>
  <c r="D27" i="107" s="1"/>
  <c r="D26" i="107" s="1"/>
  <c r="D25" i="107" s="1"/>
  <c r="D20" i="107" s="1"/>
  <c r="D13" i="107" s="1"/>
  <c r="C20" i="104"/>
  <c r="C19" i="104" s="1"/>
  <c r="C18" i="104" s="1"/>
  <c r="C17" i="104" s="1"/>
  <c r="C12" i="104" s="1"/>
  <c r="C11" i="104" s="1"/>
  <c r="M439" i="92"/>
</calcChain>
</file>

<file path=xl/sharedStrings.xml><?xml version="1.0" encoding="utf-8"?>
<sst xmlns="http://schemas.openxmlformats.org/spreadsheetml/2006/main" count="6405" uniqueCount="672">
  <si>
    <t>Код классификации</t>
  </si>
  <si>
    <t xml:space="preserve">  </t>
  </si>
  <si>
    <t>(рублей)</t>
  </si>
  <si>
    <t>к Решению Собрания депутатов МО р.п. Первомайский</t>
  </si>
  <si>
    <t>Оказание поддержки сельским старостам, руководителям территориальных общественных самоуправлений</t>
  </si>
  <si>
    <t>871</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</si>
  <si>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</si>
  <si>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</si>
  <si>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</si>
  <si>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</si>
  <si>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</si>
  <si>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</si>
  <si>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</si>
  <si>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</si>
  <si>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</si>
  <si>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</si>
  <si>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</si>
  <si>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</si>
  <si>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</si>
  <si>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</si>
  <si>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</si>
  <si>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</si>
  <si>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</si>
  <si>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</si>
  <si>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</si>
  <si>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</si>
  <si>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</si>
  <si>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</si>
  <si>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</si>
  <si>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</si>
  <si>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</si>
  <si>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</si>
  <si>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</si>
  <si>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</si>
  <si>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</si>
  <si>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</si>
  <si>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</si>
  <si>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</si>
  <si>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</si>
  <si>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</si>
  <si>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</si>
  <si>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</si>
  <si>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</si>
  <si>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</si>
  <si>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</si>
  <si>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</si>
  <si>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</si>
  <si>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</si>
  <si>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</si>
  <si>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</si>
  <si>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</si>
  <si>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</si>
  <si>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</si>
  <si>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</si>
  <si>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</si>
  <si>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</si>
  <si>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</si>
  <si>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</si>
  <si>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</si>
  <si>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Иные выплаты населению</t>
  </si>
  <si>
    <t>360</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</si>
  <si>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</si>
  <si>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</si>
  <si>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</si>
  <si>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</si>
  <si>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</si>
  <si>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</si>
  <si>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</si>
  <si>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</si>
  <si>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</si>
  <si>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</si>
  <si>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</si>
  <si>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</si>
  <si>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</si>
  <si>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</si>
  <si>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</si>
  <si>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</si>
  <si>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</si>
  <si>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</si>
  <si>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</si>
  <si>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</si>
  <si>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</si>
  <si>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</si>
  <si>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</si>
  <si>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</si>
  <si>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</si>
  <si>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</si>
  <si>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</si>
  <si>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</si>
  <si>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издательства</t>
  </si>
  <si>
    <t>Субсидии бюджетам муниципальных образований на реализацию проекта "Народный бюджет"</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</si>
  <si>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</si>
  <si>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</si>
  <si>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</si>
  <si>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</si>
  <si>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</si>
  <si>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</si>
  <si>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</si>
  <si>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</si>
  <si>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</si>
  <si>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</si>
  <si>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</si>
  <si>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</si>
  <si>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</si>
  <si>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</si>
  <si>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</si>
  <si>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</si>
  <si>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</si>
  <si>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</si>
  <si>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</si>
  <si>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</si>
  <si>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</si>
  <si>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</si>
  <si>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</si>
  <si>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</si>
  <si>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</si>
  <si>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</si>
  <si>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</si>
  <si>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</si>
  <si>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</si>
  <si>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</si>
  <si>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</si>
  <si>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</si>
  <si>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</si>
  <si>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</si>
  <si>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</si>
  <si>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</si>
  <si>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</si>
  <si>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</si>
  <si>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</si>
  <si>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</si>
  <si>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</si>
  <si>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</si>
  <si>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</si>
  <si>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</si>
  <si>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</si>
  <si>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</si>
  <si>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</si>
  <si>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</si>
  <si>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</si>
  <si>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</si>
  <si>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</si>
  <si>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</si>
  <si>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</si>
  <si>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</si>
  <si>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</si>
  <si>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</si>
  <si>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</si>
  <si>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</si>
  <si>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</si>
  <si>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</si>
  <si>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</si>
  <si>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</si>
  <si>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</si>
  <si>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29010</t>
  </si>
  <si>
    <t>S0530</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</si>
  <si>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</si>
  <si>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</si>
  <si>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</si>
  <si>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</si>
  <si>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</si>
  <si>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</si>
  <si>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</si>
  <si>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</si>
  <si>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</si>
  <si>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</si>
  <si>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</si>
  <si>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</si>
  <si>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</si>
  <si>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</si>
  <si>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</si>
  <si>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</si>
  <si>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</si>
  <si>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</si>
  <si>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</si>
  <si>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</si>
  <si>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</si>
  <si>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</si>
  <si>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</si>
  <si>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</si>
  <si>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</si>
  <si>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</si>
  <si>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</si>
  <si>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</si>
  <si>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</si>
  <si>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</si>
  <si>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</si>
  <si>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Накопление запасов материально-технических, продовольственных и медицинских средств в целях гражданской обороны</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</si>
  <si>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</si>
  <si>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</si>
  <si>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</si>
  <si>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</si>
  <si>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</si>
  <si>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</si>
  <si>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</si>
  <si>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</si>
  <si>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</si>
  <si>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</si>
  <si>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</si>
  <si>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</si>
  <si>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</si>
  <si>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</si>
  <si>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</si>
  <si>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</si>
  <si>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Оборудование автономными пожарными извещателями мест проживания многодетных семей</t>
  </si>
  <si>
    <t>29600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</si>
  <si>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</si>
  <si>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</si>
  <si>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</si>
  <si>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</si>
  <si>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</si>
  <si>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</si>
  <si>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</si>
  <si>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</si>
  <si>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</si>
  <si>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</si>
  <si>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</si>
  <si>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</si>
  <si>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</si>
  <si>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</si>
  <si>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</si>
  <si>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</si>
  <si>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</si>
  <si>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</si>
  <si>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</si>
  <si>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</si>
  <si>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</si>
  <si>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</si>
  <si>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</si>
  <si>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</si>
  <si>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</si>
  <si>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</si>
  <si>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</si>
  <si>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</si>
  <si>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</si>
  <si>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</si>
  <si>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Ремонт в многоквартирных домах в рамках программы "Народный бюджет"</t>
  </si>
  <si>
    <t>Капитальный ремонт жилфонда</t>
  </si>
  <si>
    <t>29160</t>
  </si>
  <si>
    <t>29380</t>
  </si>
  <si>
    <t>S0550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</si>
  <si>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</si>
  <si>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</si>
  <si>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</si>
  <si>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</si>
  <si>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</si>
  <si>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</si>
  <si>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</si>
  <si>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</si>
  <si>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</si>
  <si>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</si>
  <si>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</si>
  <si>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</si>
  <si>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</si>
  <si>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</si>
  <si>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</si>
  <si>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</si>
  <si>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</si>
  <si>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</si>
  <si>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</si>
  <si>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</si>
  <si>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</si>
  <si>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</si>
  <si>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</si>
  <si>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</si>
  <si>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</si>
  <si>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</si>
  <si>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</si>
  <si>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</si>
  <si>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</si>
  <si>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</si>
  <si>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</si>
  <si>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</si>
  <si>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</si>
  <si>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</si>
  <si>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</si>
  <si>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</si>
  <si>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</si>
  <si>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</si>
  <si>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</si>
  <si>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</si>
  <si>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</si>
  <si>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</si>
  <si>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</si>
  <si>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</si>
  <si>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</si>
  <si>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</si>
  <si>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</si>
  <si>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</si>
  <si>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</si>
  <si>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</si>
  <si>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</si>
  <si>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</si>
  <si>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</si>
  <si>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</si>
  <si>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</si>
  <si>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</si>
  <si>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</si>
  <si>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</si>
  <si>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</si>
  <si>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</si>
  <si>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</si>
  <si>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</si>
  <si>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</si>
  <si>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</si>
  <si>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</si>
  <si>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</si>
  <si>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</si>
  <si>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</si>
  <si>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</si>
  <si>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</si>
  <si>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</si>
  <si>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</si>
  <si>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</si>
  <si>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</si>
  <si>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</si>
  <si>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</si>
  <si>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</si>
  <si>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</si>
  <si>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</si>
  <si>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</si>
  <si>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</si>
  <si>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</si>
  <si>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</si>
  <si>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</si>
  <si>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</si>
  <si>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</si>
  <si>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</si>
  <si>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</si>
  <si>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</si>
  <si>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</si>
  <si>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</si>
  <si>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</si>
  <si>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</si>
  <si>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</si>
  <si>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</si>
  <si>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</si>
  <si>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</si>
  <si>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</si>
  <si>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Приложение № 8</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</si>
  <si>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</si>
  <si>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</si>
  <si>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</si>
  <si>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</si>
  <si>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</si>
  <si>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</si>
  <si>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</si>
  <si>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</si>
  <si>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</si>
  <si>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</si>
  <si>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</si>
  <si>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</si>
  <si>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</si>
  <si>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</si>
  <si>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</si>
  <si>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</si>
  <si>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</si>
  <si>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</si>
  <si>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</si>
  <si>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</si>
  <si>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</si>
  <si>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</si>
  <si>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</si>
  <si>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"Ремонт в многоквартирных домах в рамках программы "Народный бюджет""</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</si>
  <si>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</si>
  <si>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</si>
  <si>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</si>
  <si>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</si>
  <si>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</si>
  <si>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</si>
  <si>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</si>
  <si>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</si>
  <si>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</si>
  <si>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</si>
  <si>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</si>
  <si>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</si>
  <si>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</si>
  <si>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</si>
  <si>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</si>
  <si>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</si>
  <si>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</si>
  <si>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</si>
  <si>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</si>
  <si>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</si>
  <si>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</si>
  <si>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</si>
  <si>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</si>
  <si>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</si>
  <si>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Гражданская оборона</t>
  </si>
  <si>
    <t>Защита населения и территории от чрезвычайных ситуаций природного и техногенного характера, пожарная безопасность</t>
  </si>
  <si>
    <t>29350</t>
  </si>
  <si>
    <t>Устройство котельных</t>
  </si>
  <si>
    <t>А1</t>
  </si>
  <si>
    <t>54540</t>
  </si>
  <si>
    <t>29340</t>
  </si>
  <si>
    <t>Ликвидация карстовых пустот</t>
  </si>
  <si>
    <t>A1</t>
  </si>
  <si>
    <t>Реализация национального проекта "Культура"</t>
  </si>
  <si>
    <t>Создание модельных муниципальных библиотек</t>
  </si>
  <si>
    <t>Защита населения и территории от чрезвычайных ситуаций природного и техногенного характера</t>
  </si>
  <si>
    <t>85120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</si>
  <si>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</si>
  <si>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520</t>
  </si>
  <si>
    <t>29300</t>
  </si>
  <si>
    <t>Приобретение спортивного инвентаря и снаряжения</t>
  </si>
  <si>
    <t>84340</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</si>
  <si>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</si>
  <si>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81260</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</si>
  <si>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</si>
  <si>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3</t>
  </si>
  <si>
    <t>29040</t>
  </si>
  <si>
    <t>Содержание движимого имущества</t>
  </si>
  <si>
    <t>29150</t>
  </si>
  <si>
    <t>Устройство тротуаров</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</si>
  <si>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</si>
  <si>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29930</t>
  </si>
  <si>
    <t>Проведение конкурса "Активный руководитель территориального общественного самоуправления"</t>
  </si>
  <si>
    <t>Приложение № 1</t>
  </si>
  <si>
    <t>Приложение № 2</t>
  </si>
  <si>
    <t>Наименование группы, подгруппы и статьи                                           классификации доходов</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</si>
  <si>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</si>
  <si>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</si>
  <si>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</si>
  <si>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</si>
  <si>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</si>
  <si>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</si>
  <si>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</si>
  <si>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</si>
  <si>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</si>
  <si>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</si>
  <si>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000 1 06 00000 00 0000 000</t>
  </si>
  <si>
    <t>НАЛОГИ НА ИМУЩЕСТВО</t>
  </si>
  <si>
    <t>000 1 06 01000 00 0000 110</t>
  </si>
  <si>
    <t>Налог на имущество физических лиц</t>
  </si>
  <si>
    <t>000 1 06 06000 00 0000 110</t>
  </si>
  <si>
    <t>Земельный налог</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</si>
  <si>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</si>
  <si>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</si>
  <si>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</si>
  <si>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</si>
  <si>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</si>
  <si>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</si>
  <si>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</si>
  <si>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</si>
  <si>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</si>
  <si>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</si>
  <si>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000 1 16 00000 00 0000 000</t>
  </si>
  <si>
    <t>ШТРАФЫ, САНКЦИИ, ВОЗМЕЩЕНИЕ УЩЕРБА</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</si>
  <si>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</si>
  <si>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</si>
  <si>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000 1 17 00000 00 0000 000</t>
  </si>
  <si>
    <t>ПРОЧИЕ НЕНАЛОГОВЫЕ ДОХОДЫ</t>
  </si>
  <si>
    <t>000 1 17 05050 13 0000 180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</si>
  <si>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</si>
  <si>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</si>
  <si>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</si>
  <si>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</si>
  <si>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</si>
  <si>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</si>
  <si>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</si>
  <si>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</si>
  <si>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</si>
  <si>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000 2 02 30000 00 0000 150</t>
  </si>
  <si>
    <t>Субвенции бюджетам бюджетной системы Российской Федерации</t>
  </si>
  <si>
    <t>000 2 02 40000 00 0000 150</t>
  </si>
  <si>
    <t>Иные межбюджетные трансферты</t>
  </si>
  <si>
    <t>000 2 07 00000 00 0000 000</t>
  </si>
  <si>
    <t>ПРОЧИЕ БЕЗВОЗМЕЗДНЫЕ ПОСТУПЛЕНИЯ</t>
  </si>
  <si>
    <t>ИТОГО</t>
  </si>
  <si>
    <t>000 1 09 00000 00 0000 000</t>
  </si>
  <si>
    <t>000 1 09 04000 00 0000 110</t>
  </si>
  <si>
    <t>000 1 09 04050 00 0000 110</t>
  </si>
  <si>
    <t>000 1 09 04053 13 0000 110</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</si>
  <si>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</si>
  <si>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</si>
  <si>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</si>
  <si>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поселений</t>
  </si>
  <si>
    <t>000 1 16 02000 02 0000 140</t>
  </si>
  <si>
    <t>Административные штрафы, установленные законами субъектов Российской Федерации об административных правонарушениях</t>
  </si>
  <si>
    <t>000 1 13 00000 00 0000 000</t>
  </si>
  <si>
    <t>000 1 13 02000 00 0000 130</t>
  </si>
  <si>
    <t>ДОХОДЫ ОТ ОКАЗАНИЯ ПЛАТНЫХ УСЛУГ И КОМПЕНСАЦИИ ЗАТРАТ ГОСУДАРСТВА</t>
  </si>
  <si>
    <t>Доходы от компенсации затрат государства</t>
  </si>
  <si>
    <t>000 1 13 02990 00 0000 130</t>
  </si>
  <si>
    <t>Прочие доходы от компенсации затрат государства</t>
  </si>
  <si>
    <t>Исполнение доходов бюджета муниципального образования рабочий поселок Первомайский Щекинского района по кодам классификации доходов бюджетов за 2021 год</t>
  </si>
  <si>
    <t xml:space="preserve">Щекинского района "Об исполнении бюджета </t>
  </si>
  <si>
    <t>муниципального образования рабочий поселок</t>
  </si>
  <si>
    <t>Первомайский Щекинского района за 2021 год"</t>
  </si>
  <si>
    <t>от "___" _____________2022 года №_______</t>
  </si>
  <si>
    <t>Уточненная сводная бюджетная роспись</t>
  </si>
  <si>
    <t>Утверждено Решением Собрания депутатов "О бюджете муниципального образования рабочий поселок Первомайский на 2021 год и на плановый период 2022 и 2023 годов"</t>
  </si>
  <si>
    <t>Исполнено</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</si>
  <si>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</si>
  <si>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</si>
  <si>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</si>
  <si>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</si>
  <si>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</si>
  <si>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</si>
  <si>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</si>
  <si>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</si>
  <si>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</si>
  <si>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</si>
  <si>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</si>
  <si>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</si>
  <si>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</si>
  <si>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</si>
  <si>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</si>
  <si>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</si>
  <si>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</si>
  <si>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</si>
  <si>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</si>
  <si>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</si>
  <si>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</si>
  <si>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</si>
  <si>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</si>
  <si>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</si>
  <si>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</si>
  <si>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000 1 14 06313 13 0000 430</t>
  </si>
  <si>
    <t>Прочие неналоговые доходы бюджетов городских поселений</t>
  </si>
  <si>
    <t>000 2 02 30024 00 0000 150</t>
  </si>
  <si>
    <t>Субвенции местным бюджетам на выполнение передаваемых полномочий субъектов Российской Федерации</t>
  </si>
  <si>
    <t>000 2 02 30024 13 0000 150</t>
  </si>
  <si>
    <t>Субвенции бюджетам городских поселений на выполнение передаваемых полномочий субъектов Российской Федерации</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</si>
  <si>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</si>
  <si>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</si>
  <si>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000 2 02 35118 13 0000 150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</si>
  <si>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</si>
  <si>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000 2 02 49999 13 0000 150</t>
  </si>
  <si>
    <t xml:space="preserve">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2021 год </t>
  </si>
  <si>
    <t>000 1 01 02080 01 1000 110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</si>
  <si>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</si>
  <si>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000 1 06 06030 00 0000 110</t>
  </si>
  <si>
    <t xml:space="preserve">Земельный налог с организаций </t>
  </si>
  <si>
    <t>Земельный налог с физических лиц, обладающих земельным участком, расположенным в границах  городских  поселений</t>
  </si>
  <si>
    <t>000 1 11 053000 00 000 120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</si>
  <si>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</si>
  <si>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</si>
  <si>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</si>
  <si>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000 1 11 05314 13 0000 120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</si>
  <si>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</si>
  <si>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</si>
  <si>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</si>
  <si>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000 1 13 02995 13 0000 130</t>
  </si>
  <si>
    <t>Прочие доходы от компенсации затрат бюджетов городских поселений</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</si>
  <si>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</si>
  <si>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</si>
  <si>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</si>
  <si>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</si>
  <si>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000 1 16 02020 02 0000 140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</si>
  <si>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</si>
  <si>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</si>
  <si>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000 2 02 29999 00 0000 150</t>
  </si>
  <si>
    <t>Прочие субсидии</t>
  </si>
  <si>
    <t>000 2 02 45454 13 0000 150</t>
  </si>
  <si>
    <t>Межбюджетные трансферты, передаваемые бюджетам городских поселений на создание модельных муниципальных библиотек</t>
  </si>
  <si>
    <t>000 2 02 49999 00 0000 150</t>
  </si>
  <si>
    <t>Прочие межбюджетные трансферты, передаваемые бюджетам</t>
  </si>
  <si>
    <t>Прочие межбюджетные трансферты, передаваемые бюджетам городских поселений</t>
  </si>
  <si>
    <t>Приложение № 5</t>
  </si>
  <si>
    <t>таблица 1</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</si>
  <si>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</si>
  <si>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</si>
  <si>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</si>
  <si>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</si>
  <si>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</si>
  <si>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</si>
  <si>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 &lt;6&gt;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</si>
  <si>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 &lt;7&gt;</t>
  </si>
  <si>
    <t>Участие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&lt;8&gt;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</si>
  <si>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</si>
  <si>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50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2020 года, и в размере пяти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2020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</si>
  <si>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</si>
  <si>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2020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</si>
  <si>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</si>
  <si>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</si>
  <si>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</si>
  <si>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</si>
  <si>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</si>
  <si>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со сметным расчетом с  учетом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</si>
  <si>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реализацию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в текущем финансовом году, определяется по формуле:
V = S/Ci* C1i
где:
V – общий размер межбюджетных трансфертов на реализацию переданных полномочий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Щекинский район;
Ci–количества граждан, проживающих на территории Щекинского района, выполнение полномочия органов местного самоуправления по решению вопросов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</si>
  <si>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таблица 2</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</si>
  <si>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</si>
  <si>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услуги и содержание мест захоронения &lt;2&gt;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</si>
  <si>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</si>
  <si>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</si>
  <si>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Исполнение межбюджетных трансфертов,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2021 год</t>
  </si>
  <si>
    <t>Исполнение субсидий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 за 2021 год</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</si>
  <si>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</si>
  <si>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</si>
  <si>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</si>
  <si>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Код бюджетной классификации</t>
  </si>
  <si>
    <t>Наименование показателя</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</si>
  <si>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</si>
  <si>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</si>
  <si>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</si>
  <si>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</si>
  <si>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</si>
  <si>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</si>
  <si>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</si>
  <si>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</si>
  <si>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</si>
  <si>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</si>
  <si>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</si>
  <si>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</si>
  <si>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</si>
  <si>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</si>
  <si>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</si>
  <si>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</si>
  <si>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</si>
  <si>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</si>
  <si>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000 01 05 01 01 10 0000 610</t>
  </si>
  <si>
    <t>Уменьшение прочих остатков денежных средств местных бюджетов</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</si>
  <si>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за 2021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</si>
  <si>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на 2021 год</t>
  </si>
  <si>
    <t>82820</t>
  </si>
  <si>
    <t xml:space="preserve">Исполнение бюджетных ассигнований на реализацию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за 2021 год </t>
  </si>
  <si>
    <t>Приложение № 7</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</si>
  <si>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2021 год</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</si>
  <si>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</si>
  <si>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</si>
  <si>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Жилищно-коммунальное хозяйство</t>
  </si>
  <si>
    <t>Другие вопросы в области жилищно-коммунального хозяйства</t>
  </si>
  <si>
    <t>Молодежная политика и оздоровление детей</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</si>
  <si>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2021 год</t>
  </si>
  <si>
    <t>Приложение № 4</t>
  </si>
  <si>
    <t>Реализация дополнительных мер поддержки обеспечения сбалансированности бюджета</t>
  </si>
  <si>
    <t>дох</t>
  </si>
  <si>
    <t>Остаток средств фонда на 1 января очередного финансового года</t>
  </si>
  <si>
    <t>1. Программа муниципальных внутренних заимствований</t>
  </si>
  <si>
    <t>Вид заимствований</t>
  </si>
  <si>
    <t>Объемы погашения муниципальных долговых обязательств муниципального образования рабочий поселок Первомайский Щекинского района</t>
  </si>
  <si>
    <t>Объемы привлечения средств</t>
  </si>
  <si>
    <t xml:space="preserve">предельные сроки погашения </t>
  </si>
  <si>
    <t>Кредиты, привлеченные от кредитных организаций</t>
  </si>
  <si>
    <t>-</t>
  </si>
  <si>
    <t>Бюджетные кредиты из других бюджетов бюджетной системы Российской Федерации</t>
  </si>
  <si>
    <t>Всего</t>
  </si>
  <si>
    <t>2. Программа муниципальных внешних заимствований</t>
  </si>
  <si>
    <t>Бюджетные кредиты, привлеченные из федерального бюджета в иностранной валюте в рамках целевых иностранных кредитов</t>
  </si>
  <si>
    <t>Приложение № 9</t>
  </si>
  <si>
    <t>Исполнение плана бюджетных ассигнований дорожного фонда муниципального образования рабочий поселок Первомайский Щекинского района за 2021 год</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</si>
  <si>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</si>
  <si>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</si>
  <si>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</si>
  <si>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</si>
  <si>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</si>
  <si>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</si>
  <si>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</si>
  <si>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</si>
  <si>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</si>
  <si>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</si>
  <si>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в том числе:</t>
  </si>
  <si>
    <t>01 05 00 00 00 0000 500</t>
  </si>
  <si>
    <t>01 05 02 00 00 0000 500</t>
  </si>
  <si>
    <t>01 05 02 01 00 0000 510</t>
  </si>
  <si>
    <t>01 05 02 01 13 0000 510</t>
  </si>
  <si>
    <t>01 05 00 00 00 0000 600</t>
  </si>
  <si>
    <t>Уменьшение прочих остатков средств бюджетов</t>
  </si>
  <si>
    <t>01 05 02 00 00 0000 600</t>
  </si>
  <si>
    <t>Уменьшение прочих остатков денежных средств бюджетов</t>
  </si>
  <si>
    <t>01 05 02 01 00 0000 610</t>
  </si>
  <si>
    <t>01 05 02 01 13 0000 610</t>
  </si>
  <si>
    <t>Исполнение
источников внутреннего финансирования дефицита бюджета муниципального образования рабочий поселок Первомайский Щекинского района за 2021 год</t>
  </si>
  <si>
    <t>Приложение № 10</t>
  </si>
  <si>
    <t xml:space="preserve">Исполнение источников внутреннего финансирования дефицита бюджета муниципального образования рабочий поселок Первомайский Щекинского района за 2021 год </t>
  </si>
  <si>
    <t>Приложение № 11</t>
  </si>
  <si>
    <t>Исполнение программы муниципальных заимствований муниципального образования рабочий поселок Первомайский Щекинского района за 2021 год</t>
  </si>
  <si>
    <t>Объемы привлечения средств  в бюджет муниципального образования рабочий поселок Первомайский Щекинского района и предельные сроки погашения долговых обязательств, возникающих при осуществлении муниципальных заимствований</t>
  </si>
  <si>
    <t>Приложение № 12</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</si>
  <si>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</si>
  <si>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Муниципальная программа "Обеспечение защиты населения и территории муниципального образования рабочий посёлок Первомайский Щекинского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Щекинского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</si>
</sst>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р_._-;\-* #,##0.00_р_._-;_-* &quot;-&quot;??_р_._-;_-@_-"/>
    <numFmt numFmtId="165" formatCode="00"/>
    <numFmt numFmtId="166" formatCode="000"/>
    <numFmt numFmtId="167" formatCode="#,##0.0"/>
    <numFmt numFmtId="168" formatCode="0000"/>
    <numFmt numFmtId="169" formatCode="#,##0.00_ ;[Red]\-#,##0.00\ "/>
    <numFmt numFmtId="170" formatCode="#,##0.0_ ;[Red]\-#,##0.0\ "/>
    <numFmt numFmtId="171" formatCode="_-* #,##0_р_._-;\-* #,##0_р_._-;_-* &quot;-&quot;_р_._-;_-@_-"/>
  </numFmts>
  <fonts count="3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Arial"/>
      <family val="3"/>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5"/>
      <color indexed="8"/>
      <name val="PT Astra Serif"/>
      <family val="1"/>
      <charset val="204"/>
    </font>
    <font>
      <sz val="12"/>
      <color indexed="8"/>
      <name val="Times New Roman"/>
      <family val="1"/>
      <charset val="204"/>
    </font>
    <font>
      <sz val="10"/>
      <name val="Times New Roman"/>
      <family val="1"/>
      <charset val="204"/>
    </font>
    <font>
      <b/>
      <sz val="14"/>
      <name val="PT Astra Serif"/>
      <family val="1"/>
      <charset val="204"/>
    </font>
    <font>
      <sz val="10"/>
      <name val="PT Astra Serif"/>
      <family val="1"/>
      <charset val="204"/>
    </font>
    <font>
      <sz val="14"/>
      <name val="PT Astra Serif"/>
      <family val="1"/>
      <charset val="204"/>
    </font>
    <font>
      <b/>
      <sz val="10"/>
      <name val="Times New Roman"/>
      <family val="1"/>
      <charset val="204"/>
    </font>
    <font>
      <b/>
      <sz val="12"/>
      <name val="Times New Roman"/>
      <family val="1"/>
      <charset val="204"/>
    </font>
    <font>
      <sz val="10"/>
      <name val="Times New Roman"/>
      <family val="1"/>
      <charset val="204"/>
    </font>
    <font>
      <sz val="11"/>
      <name val="Times New Roman"/>
      <family val="1"/>
      <charset val="204"/>
    </font>
    <font>
      <i/>
      <sz val="12"/>
      <name val="PT Astra Serif"/>
      <family val="1"/>
      <charset val="204"/>
    </font>
  </fonts>
  <fills count="13">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9" fillId="0" borderId="1" applyNumberFormat="0">
      <alignment horizontal="right" vertical="top"/>
    </xf>
    <xf numFmtId="0" fontId="9" fillId="0" borderId="1" applyNumberFormat="0">
      <alignment horizontal="right" vertical="top"/>
    </xf>
    <xf numFmtId="0" fontId="8" fillId="4" borderId="1" applyNumberFormat="0">
      <alignment horizontal="right" vertical="top"/>
    </xf>
    <xf numFmtId="49" fontId="9" fillId="5" borderId="1">
      <alignment horizontal="left" vertical="top"/>
    </xf>
    <xf numFmtId="49" fontId="10" fillId="0" borderId="1">
      <alignment horizontal="left" vertical="top"/>
    </xf>
    <xf numFmtId="49" fontId="9" fillId="5" borderId="1">
      <alignment horizontal="left" vertical="top"/>
    </xf>
    <xf numFmtId="0" fontId="9" fillId="6" borderId="1">
      <alignment horizontal="left" vertical="top" wrapText="1"/>
    </xf>
    <xf numFmtId="0" fontId="10" fillId="0" borderId="1">
      <alignment horizontal="left" vertical="top" wrapText="1"/>
    </xf>
    <xf numFmtId="0" fontId="8" fillId="2" borderId="1">
      <alignment horizontal="left" vertical="top" wrapText="1"/>
    </xf>
    <xf numFmtId="0" fontId="8" fillId="7" borderId="1">
      <alignment horizontal="left" vertical="top" wrapText="1"/>
    </xf>
    <xf numFmtId="0" fontId="9" fillId="8" borderId="1">
      <alignment horizontal="left" vertical="top" wrapText="1"/>
    </xf>
    <xf numFmtId="0" fontId="9" fillId="9" borderId="1">
      <alignment horizontal="left" vertical="top" wrapText="1"/>
    </xf>
    <xf numFmtId="0" fontId="8" fillId="0" borderId="1">
      <alignment horizontal="left" vertical="top" wrapText="1"/>
    </xf>
    <xf numFmtId="0" fontId="9" fillId="9" borderId="1">
      <alignment horizontal="left" vertical="top" wrapText="1"/>
    </xf>
    <xf numFmtId="0" fontId="11" fillId="0" borderId="0">
      <alignment horizontal="left" vertical="top"/>
    </xf>
    <xf numFmtId="0" fontId="8" fillId="3" borderId="2" applyNumberFormat="0">
      <alignment horizontal="right" vertical="top"/>
    </xf>
    <xf numFmtId="0" fontId="8" fillId="2" borderId="2" applyNumberFormat="0">
      <alignment horizontal="right" vertical="top"/>
    </xf>
    <xf numFmtId="0" fontId="8" fillId="0" borderId="1" applyNumberFormat="0">
      <alignment horizontal="right" vertical="top"/>
    </xf>
    <xf numFmtId="0" fontId="8" fillId="2" borderId="2" applyNumberFormat="0">
      <alignment horizontal="right" vertical="top"/>
    </xf>
    <xf numFmtId="0" fontId="8" fillId="0" borderId="1" applyNumberFormat="0">
      <alignment horizontal="right" vertical="top"/>
    </xf>
    <xf numFmtId="0" fontId="8" fillId="3" borderId="2" applyNumberFormat="0">
      <alignment horizontal="right" vertical="top"/>
    </xf>
    <xf numFmtId="0" fontId="8" fillId="7" borderId="2" applyNumberFormat="0">
      <alignment horizontal="right" vertical="top"/>
    </xf>
    <xf numFmtId="0" fontId="8" fillId="0" borderId="1" applyNumberFormat="0">
      <alignment horizontal="right" vertical="top"/>
    </xf>
    <xf numFmtId="0" fontId="8" fillId="7" borderId="2" applyNumberFormat="0">
      <alignment horizontal="right" vertical="top"/>
    </xf>
    <xf numFmtId="49" fontId="12" fillId="10" borderId="1">
      <alignment horizontal="left" vertical="top" wrapText="1"/>
    </xf>
    <xf numFmtId="49" fontId="8" fillId="0" borderId="1">
      <alignment horizontal="left" vertical="top" wrapText="1"/>
    </xf>
    <xf numFmtId="49" fontId="12" fillId="10" borderId="1">
      <alignment horizontal="left" vertical="top" wrapText="1"/>
    </xf>
    <xf numFmtId="164" fontId="14" fillId="0" borderId="0" applyFont="0" applyFill="0" applyBorder="0" applyAlignment="0" applyProtection="0"/>
    <xf numFmtId="0" fontId="9" fillId="9" borderId="1">
      <alignment horizontal="left" vertical="top" wrapText="1"/>
    </xf>
    <xf numFmtId="0" fontId="8" fillId="0" borderId="1">
      <alignment horizontal="left" vertical="top" wrapText="1"/>
    </xf>
    <xf numFmtId="0" fontId="14" fillId="0" borderId="1">
      <alignment horizontal="left" vertical="top" wrapText="1"/>
    </xf>
    <xf numFmtId="0" fontId="9" fillId="9" borderId="1">
      <alignment horizontal="left" vertical="top" wrapText="1"/>
    </xf>
    <xf numFmtId="0" fontId="8" fillId="0" borderId="1">
      <alignment horizontal="left" vertical="top" wrapText="1"/>
    </xf>
    <xf numFmtId="0" fontId="19" fillId="0" borderId="0"/>
    <xf numFmtId="0" fontId="8" fillId="0" borderId="0"/>
    <xf numFmtId="0" fontId="7" fillId="0" borderId="0"/>
    <xf numFmtId="0" fontId="23" fillId="0" borderId="0"/>
    <xf numFmtId="0" fontId="8" fillId="0" borderId="0"/>
    <xf numFmtId="0" fontId="23" fillId="0" borderId="0"/>
    <xf numFmtId="0" fontId="27"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9" fillId="0" borderId="0"/>
    <xf numFmtId="0" fontId="13" fillId="0" borderId="0"/>
    <xf numFmtId="0" fontId="8" fillId="0" borderId="0"/>
    <xf numFmtId="164" fontId="8" fillId="0" borderId="0" applyFont="0" applyFill="0" applyBorder="0" applyAlignment="0" applyProtection="0"/>
    <xf numFmtId="0" fontId="1" fillId="0" borderId="0"/>
    <xf numFmtId="0" fontId="33" fillId="0" borderId="0"/>
    <xf numFmtId="171" fontId="8" fillId="0" borderId="0" applyFont="0" applyFill="0" applyBorder="0" applyAlignment="0" applyProtection="0"/>
  </cellStyleXfs>
  <cellXfs count="291">
    <xf numFmtId="0" fontId="0" fillId="0" borderId="0" xfId="0"/>
    <xf numFmtId="0" fontId="20" fillId="0" borderId="0" xfId="36" applyFont="1"/>
    <xf numFmtId="0" fontId="22" fillId="0" borderId="0" xfId="36" applyNumberFormat="1" applyFont="1" applyFill="1" applyBorder="1" applyAlignment="1" applyProtection="1">
      <alignment horizontal="left" vertical="center" wrapText="1"/>
    </xf>
    <xf numFmtId="0" fontId="22" fillId="0" borderId="0" xfId="36" applyNumberFormat="1" applyFont="1" applyFill="1" applyBorder="1" applyAlignment="1" applyProtection="1">
      <alignment horizontal="center" vertical="center" wrapText="1"/>
    </xf>
    <xf numFmtId="0" fontId="22" fillId="0" borderId="0" xfId="36" applyNumberFormat="1" applyFont="1" applyFill="1" applyBorder="1" applyAlignment="1" applyProtection="1">
      <alignment horizontal="right" vertical="center" wrapText="1"/>
    </xf>
    <xf numFmtId="0" fontId="17" fillId="0" borderId="9" xfId="36" applyNumberFormat="1" applyFont="1" applyFill="1" applyBorder="1" applyAlignment="1" applyProtection="1">
      <alignment horizontal="center" vertical="top" wrapText="1"/>
    </xf>
    <xf numFmtId="0" fontId="20" fillId="0" borderId="0" xfId="36" applyFont="1" applyAlignment="1">
      <alignment horizontal="left" vertical="center"/>
    </xf>
    <xf numFmtId="0" fontId="20" fillId="0" borderId="0" xfId="36" applyFont="1" applyAlignment="1">
      <alignment horizontal="center" vertical="center"/>
    </xf>
    <xf numFmtId="0" fontId="20" fillId="0" borderId="0" xfId="36" applyFont="1" applyAlignment="1">
      <alignment horizontal="right" vertical="center"/>
    </xf>
    <xf numFmtId="165" fontId="13" fillId="0" borderId="0" xfId="37" applyNumberFormat="1" applyFont="1" applyFill="1" applyBorder="1" applyAlignment="1" applyProtection="1">
      <alignment horizontal="center" vertical="center" wrapText="1"/>
      <protection hidden="1"/>
    </xf>
    <xf numFmtId="0" fontId="13" fillId="0" borderId="0" xfId="37" applyNumberFormat="1" applyFont="1" applyFill="1" applyBorder="1" applyAlignment="1" applyProtection="1">
      <alignment horizontal="center" vertical="center" wrapText="1"/>
      <protection hidden="1"/>
    </xf>
    <xf numFmtId="0" fontId="13" fillId="0" borderId="0" xfId="37" applyNumberFormat="1" applyFont="1" applyFill="1" applyBorder="1" applyAlignment="1" applyProtection="1">
      <alignment horizontal="justify" wrapText="1"/>
      <protection hidden="1"/>
    </xf>
    <xf numFmtId="2" fontId="15" fillId="0" borderId="0" xfId="37" applyNumberFormat="1" applyFont="1" applyFill="1" applyBorder="1" applyAlignment="1" applyProtection="1">
      <alignment horizontal="left" vertical="center" wrapText="1"/>
      <protection hidden="1"/>
    </xf>
    <xf numFmtId="165" fontId="15" fillId="0" borderId="0" xfId="37" applyNumberFormat="1" applyFont="1" applyFill="1" applyBorder="1" applyAlignment="1" applyProtection="1">
      <alignment horizontal="center" vertical="center" wrapText="1"/>
      <protection hidden="1"/>
    </xf>
    <xf numFmtId="0" fontId="15" fillId="0" borderId="0" xfId="37" applyNumberFormat="1" applyFont="1" applyFill="1" applyBorder="1" applyAlignment="1" applyProtection="1">
      <alignment horizontal="right" vertical="center" wrapText="1"/>
      <protection hidden="1"/>
    </xf>
    <xf numFmtId="0" fontId="15" fillId="0" borderId="0" xfId="37" applyNumberFormat="1" applyFont="1" applyFill="1" applyBorder="1" applyAlignment="1" applyProtection="1">
      <alignment horizontal="center" vertical="center" wrapText="1"/>
      <protection hidden="1"/>
    </xf>
    <xf numFmtId="0" fontId="15" fillId="0" borderId="0" xfId="37" applyNumberFormat="1" applyFont="1" applyFill="1" applyBorder="1" applyAlignment="1" applyProtection="1">
      <alignment horizontal="left" vertical="center" wrapText="1"/>
      <protection hidden="1"/>
    </xf>
    <xf numFmtId="0" fontId="15" fillId="0" borderId="0" xfId="37" applyNumberFormat="1" applyFont="1" applyFill="1" applyBorder="1" applyAlignment="1" applyProtection="1">
      <alignment horizontal="left" vertical="center"/>
      <protection hidden="1"/>
    </xf>
    <xf numFmtId="1" fontId="15" fillId="0" borderId="0" xfId="38" applyNumberFormat="1" applyFont="1" applyFill="1" applyBorder="1" applyAlignment="1">
      <alignment horizontal="justify"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justify" wrapText="1"/>
    </xf>
    <xf numFmtId="0" fontId="15" fillId="0" borderId="0" xfId="37" applyNumberFormat="1" applyFont="1" applyFill="1" applyBorder="1" applyAlignment="1" applyProtection="1">
      <alignment horizontal="justify" wrapText="1"/>
      <protection hidden="1"/>
    </xf>
    <xf numFmtId="1" fontId="15" fillId="0" borderId="0" xfId="35" applyNumberFormat="1" applyFont="1" applyFill="1" applyBorder="1" applyAlignment="1">
      <alignment horizontal="justify" wrapText="1"/>
    </xf>
    <xf numFmtId="0" fontId="16" fillId="0" borderId="0" xfId="37" applyNumberFormat="1" applyFont="1" applyFill="1" applyBorder="1" applyAlignment="1" applyProtection="1">
      <alignment horizontal="justify" wrapText="1"/>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15" fillId="0" borderId="0" xfId="37" applyNumberFormat="1" applyFont="1" applyFill="1" applyBorder="1" applyAlignment="1" applyProtection="1">
      <alignment horizontal="right" wrapText="1"/>
      <protection hidden="1"/>
    </xf>
    <xf numFmtId="0" fontId="15" fillId="0" borderId="0" xfId="37" applyNumberFormat="1" applyFont="1" applyFill="1" applyBorder="1" applyAlignment="1" applyProtection="1">
      <alignment horizontal="left" wrapText="1"/>
      <protection hidden="1"/>
    </xf>
    <xf numFmtId="1" fontId="15" fillId="0" borderId="0" xfId="34" applyNumberFormat="1" applyFont="1" applyFill="1" applyBorder="1" applyAlignment="1">
      <alignment horizontal="left" wrapText="1"/>
    </xf>
    <xf numFmtId="0" fontId="15" fillId="0" borderId="0" xfId="34" applyFont="1" applyFill="1" applyBorder="1" applyAlignment="1">
      <alignment horizontal="justify" wrapText="1"/>
    </xf>
    <xf numFmtId="49" fontId="15" fillId="0" borderId="0" xfId="37" applyNumberFormat="1" applyFont="1" applyFill="1" applyBorder="1" applyAlignment="1" applyProtection="1">
      <alignment horizontal="justify" wrapText="1"/>
      <protection hidden="1"/>
    </xf>
    <xf numFmtId="0" fontId="15" fillId="0" borderId="0" xfId="34" applyFont="1" applyFill="1" applyBorder="1"/>
    <xf numFmtId="0" fontId="15" fillId="0" borderId="0" xfId="34" applyFont="1" applyFill="1" applyBorder="1" applyAlignment="1">
      <alignment horizontal="center"/>
    </xf>
    <xf numFmtId="0" fontId="18" fillId="0" borderId="0" xfId="34" applyFont="1" applyFill="1" applyBorder="1" applyAlignment="1">
      <alignment horizontal="justify"/>
    </xf>
    <xf numFmtId="49" fontId="18" fillId="0" borderId="0" xfId="34" applyNumberFormat="1" applyFont="1" applyFill="1" applyBorder="1" applyAlignment="1">
      <alignment horizontal="center"/>
    </xf>
    <xf numFmtId="0" fontId="18" fillId="0" borderId="0" xfId="34" applyFont="1" applyFill="1" applyBorder="1" applyAlignment="1">
      <alignment horizontal="center"/>
    </xf>
    <xf numFmtId="0" fontId="18" fillId="0" borderId="0" xfId="34" applyFont="1" applyFill="1" applyBorder="1" applyAlignment="1"/>
    <xf numFmtId="0" fontId="21" fillId="0" borderId="0" xfId="36" applyNumberFormat="1" applyFont="1" applyFill="1" applyBorder="1" applyAlignment="1" applyProtection="1">
      <alignment horizontal="left" vertical="center" wrapText="1"/>
    </xf>
    <xf numFmtId="0" fontId="21" fillId="0" borderId="0" xfId="36" applyNumberFormat="1" applyFont="1" applyFill="1" applyBorder="1" applyAlignment="1" applyProtection="1">
      <alignment horizontal="center" vertical="center" wrapText="1"/>
    </xf>
    <xf numFmtId="0" fontId="21" fillId="0" borderId="0" xfId="36" applyNumberFormat="1" applyFont="1" applyFill="1" applyBorder="1" applyAlignment="1" applyProtection="1">
      <alignment horizontal="right" vertical="center" wrapText="1"/>
    </xf>
    <xf numFmtId="166" fontId="13" fillId="0" borderId="0" xfId="37" applyNumberFormat="1" applyFont="1" applyFill="1" applyBorder="1" applyAlignment="1" applyProtection="1">
      <alignment horizontal="center" vertical="center" wrapText="1"/>
      <protection hidden="1"/>
    </xf>
    <xf numFmtId="2" fontId="18" fillId="0" borderId="0" xfId="37" applyNumberFormat="1" applyFont="1" applyFill="1" applyBorder="1" applyAlignment="1" applyProtection="1">
      <alignment horizontal="left" vertical="center" wrapText="1"/>
      <protection hidden="1"/>
    </xf>
    <xf numFmtId="166" fontId="18" fillId="0" borderId="0" xfId="37" applyNumberFormat="1" applyFont="1" applyFill="1" applyBorder="1" applyAlignment="1" applyProtection="1">
      <alignment horizontal="center" vertical="center" wrapText="1"/>
      <protection hidden="1"/>
    </xf>
    <xf numFmtId="165" fontId="18" fillId="0" borderId="0" xfId="37" applyNumberFormat="1" applyFont="1" applyFill="1" applyBorder="1" applyAlignment="1" applyProtection="1">
      <alignment horizontal="center" vertical="center" wrapText="1"/>
      <protection hidden="1"/>
    </xf>
    <xf numFmtId="0" fontId="18" fillId="0" borderId="0" xfId="37" applyNumberFormat="1" applyFont="1" applyFill="1" applyBorder="1" applyAlignment="1" applyProtection="1">
      <alignment horizontal="right" vertical="center" wrapText="1"/>
      <protection hidden="1"/>
    </xf>
    <xf numFmtId="0" fontId="18" fillId="0" borderId="0" xfId="37" applyNumberFormat="1" applyFont="1" applyFill="1" applyBorder="1" applyAlignment="1" applyProtection="1">
      <alignment horizontal="center" vertical="center" wrapText="1"/>
      <protection hidden="1"/>
    </xf>
    <xf numFmtId="0" fontId="18" fillId="0" borderId="0" xfId="37" applyNumberFormat="1" applyFont="1" applyFill="1" applyBorder="1" applyAlignment="1" applyProtection="1">
      <alignment horizontal="left" vertical="center" wrapText="1"/>
      <protection hidden="1"/>
    </xf>
    <xf numFmtId="0" fontId="18" fillId="0" borderId="0" xfId="37" applyNumberFormat="1" applyFont="1" applyFill="1" applyBorder="1" applyAlignment="1" applyProtection="1">
      <alignment horizontal="left" vertical="center"/>
      <protection hidden="1"/>
    </xf>
    <xf numFmtId="166" fontId="15" fillId="0" borderId="0" xfId="37" applyNumberFormat="1" applyFont="1" applyFill="1" applyBorder="1" applyAlignment="1" applyProtection="1">
      <alignment horizontal="center" vertical="center" wrapText="1"/>
      <protection hidden="1"/>
    </xf>
    <xf numFmtId="166" fontId="15" fillId="0" borderId="0" xfId="37" applyNumberFormat="1" applyFont="1" applyFill="1" applyBorder="1" applyAlignment="1" applyProtection="1">
      <alignment horizontal="center" wrapText="1"/>
      <protection hidden="1"/>
    </xf>
    <xf numFmtId="2" fontId="13" fillId="0" borderId="10" xfId="37" applyNumberFormat="1" applyFont="1" applyFill="1" applyBorder="1" applyAlignment="1" applyProtection="1">
      <alignment horizontal="justify" vertical="center" wrapText="1"/>
      <protection hidden="1"/>
    </xf>
    <xf numFmtId="49" fontId="13" fillId="0" borderId="10" xfId="37" applyNumberFormat="1" applyFont="1" applyFill="1" applyBorder="1" applyAlignment="1" applyProtection="1">
      <alignment horizontal="center" vertical="center" wrapText="1"/>
      <protection hidden="1"/>
    </xf>
    <xf numFmtId="0" fontId="13" fillId="0" borderId="10" xfId="37" applyNumberFormat="1" applyFont="1" applyFill="1" applyBorder="1" applyAlignment="1" applyProtection="1">
      <alignment horizontal="center" vertical="center" wrapText="1"/>
      <protection hidden="1"/>
    </xf>
    <xf numFmtId="166" fontId="13" fillId="0" borderId="10" xfId="37" applyNumberFormat="1" applyFont="1" applyFill="1" applyBorder="1" applyAlignment="1" applyProtection="1">
      <alignment horizontal="center" vertical="center" wrapText="1"/>
      <protection hidden="1"/>
    </xf>
    <xf numFmtId="165" fontId="13" fillId="0" borderId="10" xfId="37" applyNumberFormat="1" applyFont="1" applyFill="1" applyBorder="1" applyAlignment="1" applyProtection="1">
      <alignment horizontal="center" vertical="center" wrapText="1"/>
      <protection hidden="1"/>
    </xf>
    <xf numFmtId="4" fontId="13" fillId="0" borderId="10" xfId="37" applyNumberFormat="1" applyFont="1" applyFill="1" applyBorder="1" applyAlignment="1" applyProtection="1">
      <alignment vertical="center" wrapText="1"/>
      <protection hidden="1"/>
    </xf>
    <xf numFmtId="2" fontId="13" fillId="0" borderId="0" xfId="37" applyNumberFormat="1" applyFont="1" applyFill="1" applyBorder="1" applyAlignment="1" applyProtection="1">
      <alignment horizontal="justify" vertical="center" wrapText="1"/>
      <protection hidden="1"/>
    </xf>
    <xf numFmtId="49" fontId="13" fillId="0" borderId="0" xfId="37" applyNumberFormat="1" applyFont="1" applyFill="1" applyBorder="1" applyAlignment="1" applyProtection="1">
      <alignment horizontal="center" vertical="center" wrapText="1"/>
      <protection hidden="1"/>
    </xf>
    <xf numFmtId="4" fontId="13" fillId="0" borderId="0" xfId="37" applyNumberFormat="1" applyFont="1" applyFill="1" applyBorder="1" applyAlignment="1" applyProtection="1">
      <alignment vertical="center" wrapText="1"/>
      <protection hidden="1"/>
    </xf>
    <xf numFmtId="0"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vertical="center" wrapText="1"/>
    </xf>
    <xf numFmtId="4" fontId="15" fillId="0" borderId="0" xfId="37" applyNumberFormat="1" applyFont="1" applyFill="1" applyBorder="1" applyAlignment="1" applyProtection="1">
      <alignment vertical="center" wrapText="1"/>
      <protection hidden="1"/>
    </xf>
    <xf numFmtId="4" fontId="15" fillId="0" borderId="0" xfId="34" applyNumberFormat="1" applyFont="1" applyFill="1" applyBorder="1" applyAlignment="1"/>
    <xf numFmtId="4" fontId="15" fillId="0" borderId="0" xfId="34" applyNumberFormat="1" applyFont="1" applyFill="1" applyBorder="1" applyAlignment="1">
      <alignment horizontal="right" wrapText="1"/>
    </xf>
    <xf numFmtId="4" fontId="18" fillId="0" borderId="0" xfId="34" applyNumberFormat="1" applyFont="1" applyFill="1" applyBorder="1" applyAlignment="1"/>
    <xf numFmtId="4" fontId="18" fillId="0" borderId="0" xfId="37" applyNumberFormat="1" applyFont="1" applyFill="1" applyBorder="1" applyAlignment="1" applyProtection="1">
      <alignment vertical="center" wrapText="1"/>
      <protection hidden="1"/>
    </xf>
    <xf numFmtId="4" fontId="20" fillId="0" borderId="0" xfId="36" applyNumberFormat="1" applyFont="1" applyAlignment="1">
      <alignment horizontal="right" vertical="center"/>
    </xf>
    <xf numFmtId="4" fontId="26" fillId="0" borderId="0" xfId="0" applyNumberFormat="1" applyFont="1" applyFill="1" applyBorder="1" applyAlignment="1" applyProtection="1">
      <alignment horizontal="right" vertical="center" wrapText="1"/>
    </xf>
    <xf numFmtId="49"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15" fillId="0" borderId="0" xfId="0" applyFont="1" applyFill="1" applyAlignment="1" applyProtection="1">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20" fillId="0" borderId="0" xfId="36" applyFont="1" applyFill="1" applyAlignment="1">
      <alignment horizontal="left" vertical="center"/>
    </xf>
    <xf numFmtId="0" fontId="20" fillId="0" borderId="0" xfId="36" applyFont="1" applyFill="1"/>
    <xf numFmtId="0" fontId="20" fillId="0" borderId="0" xfId="36" applyFont="1" applyFill="1" applyAlignment="1">
      <alignment horizontal="center" vertical="center"/>
    </xf>
    <xf numFmtId="0" fontId="20" fillId="0" borderId="0" xfId="36" applyFont="1" applyFill="1" applyAlignment="1">
      <alignment horizontal="right" vertical="center"/>
    </xf>
    <xf numFmtId="0" fontId="15" fillId="0" borderId="0" xfId="0" applyFont="1" applyFill="1" applyAlignment="1" applyProtection="1">
      <alignment horizontal="right"/>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167" fontId="15" fillId="0" borderId="0" xfId="48" applyNumberFormat="1" applyFont="1" applyFill="1" applyAlignment="1">
      <alignment vertical="center"/>
    </xf>
    <xf numFmtId="0" fontId="15" fillId="0" borderId="0" xfId="0" applyFont="1" applyFill="1"/>
    <xf numFmtId="0" fontId="15" fillId="0" borderId="0" xfId="0" applyFont="1" applyFill="1" applyAlignment="1">
      <alignment horizontal="left" vertical="center"/>
    </xf>
    <xf numFmtId="0" fontId="15" fillId="0" borderId="0" xfId="0" applyFont="1" applyFill="1" applyAlignment="1">
      <alignment horizontal="center" vertical="center"/>
    </xf>
    <xf numFmtId="167" fontId="15" fillId="0" borderId="0" xfId="48" applyNumberFormat="1" applyFont="1" applyFill="1" applyAlignment="1">
      <alignment horizontal="left" vertical="center"/>
    </xf>
    <xf numFmtId="167" fontId="15" fillId="0" borderId="0" xfId="49" applyNumberFormat="1" applyFont="1" applyFill="1" applyAlignment="1" applyProtection="1">
      <alignment vertical="center"/>
      <protection locked="0"/>
    </xf>
    <xf numFmtId="167" fontId="15" fillId="0" borderId="0" xfId="49" applyNumberFormat="1" applyFont="1" applyFill="1" applyAlignment="1">
      <alignment horizontal="left" vertical="center"/>
    </xf>
    <xf numFmtId="167" fontId="16" fillId="0" borderId="0" xfId="49" applyNumberFormat="1" applyFont="1" applyFill="1" applyAlignment="1">
      <alignment horizontal="right" vertical="center"/>
    </xf>
    <xf numFmtId="167" fontId="17" fillId="0" borderId="11" xfId="4" applyNumberFormat="1" applyFont="1" applyFill="1" applyBorder="1" applyAlignment="1">
      <alignment horizontal="center" vertical="top"/>
    </xf>
    <xf numFmtId="167" fontId="15" fillId="0" borderId="11" xfId="5" applyNumberFormat="1" applyFont="1" applyFill="1" applyBorder="1" applyAlignment="1">
      <alignment horizontal="center" vertical="top" wrapText="1"/>
    </xf>
    <xf numFmtId="0" fontId="15" fillId="0" borderId="11" xfId="8" applyNumberFormat="1" applyFont="1" applyFill="1" applyBorder="1" applyAlignment="1">
      <alignment horizontal="center" vertical="top" wrapText="1"/>
    </xf>
    <xf numFmtId="0" fontId="15" fillId="0" borderId="0" xfId="0" applyFont="1" applyFill="1" applyAlignment="1">
      <alignment vertical="top"/>
    </xf>
    <xf numFmtId="0" fontId="15" fillId="0" borderId="0" xfId="0" applyFont="1" applyFill="1" applyAlignment="1">
      <alignment vertical="center"/>
    </xf>
    <xf numFmtId="4" fontId="15" fillId="0" borderId="0" xfId="0" applyNumberFormat="1" applyFont="1" applyFill="1"/>
    <xf numFmtId="4" fontId="15" fillId="0" borderId="0" xfId="0" applyNumberFormat="1" applyFont="1" applyFill="1" applyAlignment="1">
      <alignment vertical="top"/>
    </xf>
    <xf numFmtId="167" fontId="15" fillId="0" borderId="0" xfId="25" applyNumberFormat="1" applyFont="1" applyFill="1" applyBorder="1" applyAlignment="1">
      <alignment horizontal="center" vertical="center" wrapText="1"/>
    </xf>
    <xf numFmtId="167" fontId="15" fillId="0" borderId="0" xfId="33" applyNumberFormat="1" applyFont="1" applyFill="1" applyBorder="1" applyAlignment="1">
      <alignment horizontal="justify" vertical="center" wrapText="1"/>
    </xf>
    <xf numFmtId="4" fontId="15" fillId="0" borderId="0" xfId="2"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NumberFormat="1" applyFont="1" applyFill="1" applyBorder="1" applyAlignment="1">
      <alignment horizontal="justify" vertical="center" wrapText="1"/>
    </xf>
    <xf numFmtId="49" fontId="17" fillId="0" borderId="0" xfId="25" applyFont="1" applyFill="1" applyBorder="1" applyAlignment="1">
      <alignment horizontal="center" vertical="center" wrapText="1"/>
    </xf>
    <xf numFmtId="0" fontId="15" fillId="0" borderId="0" xfId="33" applyFont="1" applyFill="1" applyBorder="1" applyAlignment="1">
      <alignment horizontal="left" vertical="center" wrapText="1"/>
    </xf>
    <xf numFmtId="167" fontId="18" fillId="0" borderId="0" xfId="25" applyNumberFormat="1" applyFont="1" applyFill="1" applyBorder="1" applyAlignment="1">
      <alignment horizontal="center" vertical="center" wrapText="1"/>
    </xf>
    <xf numFmtId="167" fontId="18" fillId="0" borderId="0" xfId="33" applyNumberFormat="1" applyFont="1" applyFill="1" applyBorder="1" applyAlignment="1">
      <alignment horizontal="left" vertical="center" wrapText="1"/>
    </xf>
    <xf numFmtId="4" fontId="18" fillId="0" borderId="0" xfId="2" applyNumberFormat="1" applyFont="1" applyFill="1" applyBorder="1" applyAlignment="1">
      <alignment horizontal="right" vertical="center"/>
    </xf>
    <xf numFmtId="167" fontId="15" fillId="0" borderId="0" xfId="33" quotePrefix="1" applyNumberFormat="1" applyFont="1" applyFill="1" applyBorder="1" applyAlignment="1">
      <alignment horizontal="justify" vertical="center" wrapText="1"/>
    </xf>
    <xf numFmtId="0" fontId="15" fillId="0" borderId="0" xfId="0" applyFont="1" applyFill="1" applyAlignment="1">
      <alignment horizontal="right" vertical="center"/>
    </xf>
    <xf numFmtId="0" fontId="15" fillId="0" borderId="11" xfId="34" applyFont="1" applyBorder="1"/>
    <xf numFmtId="0" fontId="18" fillId="0" borderId="11" xfId="34" applyFont="1" applyBorder="1" applyAlignment="1">
      <alignment horizontal="center" vertical="center" wrapText="1"/>
    </xf>
    <xf numFmtId="0" fontId="15" fillId="0" borderId="11" xfId="34" applyFont="1" applyBorder="1" applyAlignment="1">
      <alignment horizontal="center"/>
    </xf>
    <xf numFmtId="0" fontId="15" fillId="0" borderId="11" xfId="34" applyFont="1" applyBorder="1" applyAlignment="1">
      <alignment horizontal="justify" wrapText="1"/>
    </xf>
    <xf numFmtId="4" fontId="15" fillId="0" borderId="11" xfId="34" applyNumberFormat="1" applyFont="1" applyBorder="1" applyAlignment="1">
      <alignment horizontal="center"/>
    </xf>
    <xf numFmtId="0" fontId="18" fillId="0" borderId="11" xfId="35" applyFont="1" applyFill="1" applyBorder="1" applyAlignment="1">
      <alignment horizontal="left" wrapText="1"/>
    </xf>
    <xf numFmtId="4" fontId="18" fillId="0" borderId="11" xfId="34" applyNumberFormat="1" applyFont="1" applyBorder="1" applyAlignment="1">
      <alignment horizontal="center"/>
    </xf>
    <xf numFmtId="0" fontId="29" fillId="0" borderId="0" xfId="34" applyFont="1"/>
    <xf numFmtId="167" fontId="29" fillId="0" borderId="0" xfId="34" applyNumberFormat="1" applyFont="1"/>
    <xf numFmtId="0" fontId="29" fillId="0" borderId="0" xfId="0" applyFont="1" applyFill="1" applyAlignment="1">
      <alignment horizontal="justify"/>
    </xf>
    <xf numFmtId="0" fontId="29" fillId="0" borderId="0" xfId="0" applyFont="1" applyAlignment="1">
      <alignment horizontal="justify" wrapText="1"/>
    </xf>
    <xf numFmtId="0" fontId="29" fillId="0" borderId="0" xfId="0" applyFont="1" applyAlignment="1">
      <alignment horizontal="justify"/>
    </xf>
    <xf numFmtId="0" fontId="28" fillId="0" borderId="0" xfId="34" applyFont="1" applyAlignment="1">
      <alignment horizontal="center" vertical="center" wrapText="1"/>
    </xf>
    <xf numFmtId="167" fontId="15" fillId="0" borderId="0" xfId="34" applyNumberFormat="1" applyFont="1" applyAlignment="1">
      <alignment horizontal="right"/>
    </xf>
    <xf numFmtId="0" fontId="15" fillId="0" borderId="0" xfId="0" applyFont="1" applyFill="1" applyAlignment="1">
      <alignment horizontal="justify"/>
    </xf>
    <xf numFmtId="0" fontId="29" fillId="0" borderId="0" xfId="34" applyFont="1" applyAlignment="1">
      <alignment horizontal="justify"/>
    </xf>
    <xf numFmtId="167" fontId="29" fillId="0" borderId="0" xfId="34" applyNumberFormat="1" applyFont="1" applyAlignment="1">
      <alignment horizontal="justify"/>
    </xf>
    <xf numFmtId="0" fontId="15" fillId="0" borderId="0" xfId="0" applyFont="1" applyFill="1" applyAlignment="1">
      <alignment horizontal="justify" vertical="center"/>
    </xf>
    <xf numFmtId="0" fontId="20" fillId="0" borderId="0" xfId="52" applyFont="1" applyAlignment="1">
      <alignment horizontal="left" vertical="center"/>
    </xf>
    <xf numFmtId="0" fontId="20" fillId="0" borderId="0" xfId="52" applyFont="1"/>
    <xf numFmtId="0" fontId="17" fillId="0" borderId="0" xfId="52" applyFont="1" applyAlignment="1">
      <alignment horizontal="left" vertical="center" wrapText="1"/>
    </xf>
    <xf numFmtId="0" fontId="17" fillId="0" borderId="0" xfId="52" applyFont="1" applyAlignment="1">
      <alignment horizontal="center" vertical="center" wrapText="1"/>
    </xf>
    <xf numFmtId="0" fontId="17" fillId="0" borderId="0" xfId="52" applyFont="1" applyAlignment="1">
      <alignment horizontal="right" vertical="center" wrapText="1"/>
    </xf>
    <xf numFmtId="0" fontId="22" fillId="0" borderId="0" xfId="52" applyFont="1" applyAlignment="1">
      <alignment horizontal="left" vertical="center" wrapText="1"/>
    </xf>
    <xf numFmtId="0" fontId="22" fillId="0" borderId="0" xfId="52" applyFont="1" applyAlignment="1">
      <alignment horizontal="center" vertical="center" wrapText="1"/>
    </xf>
    <xf numFmtId="0" fontId="22" fillId="0" borderId="0" xfId="52" applyFont="1" applyAlignment="1">
      <alignment horizontal="right" vertical="center" wrapText="1"/>
    </xf>
    <xf numFmtId="0" fontId="17" fillId="0" borderId="9" xfId="52" applyFont="1" applyBorder="1" applyAlignment="1">
      <alignment horizontal="center" vertical="top" wrapText="1"/>
    </xf>
    <xf numFmtId="49" fontId="15" fillId="0" borderId="0" xfId="34" applyNumberFormat="1" applyFont="1" applyAlignment="1">
      <alignment horizontal="center" wrapText="1"/>
    </xf>
    <xf numFmtId="1" fontId="15" fillId="0" borderId="0" xfId="34" applyNumberFormat="1" applyFont="1" applyAlignment="1">
      <alignment horizontal="center" wrapText="1"/>
    </xf>
    <xf numFmtId="1" fontId="15" fillId="0" borderId="0" xfId="34" applyNumberFormat="1" applyFont="1" applyAlignment="1">
      <alignment horizontal="justify" wrapText="1"/>
    </xf>
    <xf numFmtId="0" fontId="15" fillId="0" borderId="0" xfId="37" applyFont="1" applyAlignment="1" applyProtection="1">
      <alignment horizontal="justify" wrapText="1"/>
      <protection hidden="1"/>
    </xf>
    <xf numFmtId="0" fontId="20" fillId="0" borderId="0" xfId="52" applyFont="1" applyAlignment="1">
      <alignment horizontal="center" vertical="center"/>
    </xf>
    <xf numFmtId="0" fontId="20" fillId="0" borderId="0" xfId="52" applyFont="1" applyAlignment="1">
      <alignment horizontal="right" vertical="center"/>
    </xf>
    <xf numFmtId="4" fontId="20" fillId="0" borderId="0" xfId="52" applyNumberFormat="1" applyFont="1" applyAlignment="1">
      <alignment horizontal="right" vertical="center"/>
    </xf>
    <xf numFmtId="165" fontId="15" fillId="0" borderId="0" xfId="39" applyNumberFormat="1" applyFont="1" applyAlignment="1" applyProtection="1">
      <alignment horizontal="justify" vertical="center" wrapText="1"/>
      <protection hidden="1"/>
    </xf>
    <xf numFmtId="165" fontId="15" fillId="0" borderId="0" xfId="39" applyNumberFormat="1" applyFont="1" applyAlignment="1" applyProtection="1">
      <alignment horizontal="center" vertical="center"/>
      <protection hidden="1"/>
    </xf>
    <xf numFmtId="165" fontId="15" fillId="0" borderId="0" xfId="39" applyNumberFormat="1" applyFont="1" applyAlignment="1" applyProtection="1">
      <alignment horizontal="right" vertical="center"/>
      <protection hidden="1"/>
    </xf>
    <xf numFmtId="1" fontId="15" fillId="0" borderId="0" xfId="39" applyNumberFormat="1" applyFont="1" applyAlignment="1" applyProtection="1">
      <alignment horizontal="center" vertical="center"/>
      <protection hidden="1"/>
    </xf>
    <xf numFmtId="168" fontId="15" fillId="0" borderId="0" xfId="39" applyNumberFormat="1" applyFont="1" applyAlignment="1" applyProtection="1">
      <alignment horizontal="left" vertical="center"/>
      <protection hidden="1"/>
    </xf>
    <xf numFmtId="166" fontId="15" fillId="0" borderId="0" xfId="39" applyNumberFormat="1" applyFont="1" applyAlignment="1" applyProtection="1">
      <alignment horizontal="center" vertical="center"/>
      <protection hidden="1"/>
    </xf>
    <xf numFmtId="169" fontId="15" fillId="0" borderId="0" xfId="39" applyNumberFormat="1" applyFont="1" applyAlignment="1" applyProtection="1">
      <alignment horizontal="right"/>
      <protection hidden="1"/>
    </xf>
    <xf numFmtId="49" fontId="15" fillId="11" borderId="0" xfId="34" applyNumberFormat="1" applyFont="1" applyFill="1" applyAlignment="1">
      <alignment horizontal="center" wrapText="1"/>
    </xf>
    <xf numFmtId="49" fontId="15" fillId="0" borderId="0" xfId="39" applyNumberFormat="1" applyFont="1" applyAlignment="1" applyProtection="1">
      <alignment horizontal="left" vertical="center"/>
      <protection hidden="1"/>
    </xf>
    <xf numFmtId="168" fontId="15" fillId="0" borderId="0" xfId="39" applyNumberFormat="1" applyFont="1" applyAlignment="1" applyProtection="1">
      <alignment horizontal="center" vertical="center"/>
      <protection hidden="1"/>
    </xf>
    <xf numFmtId="169" fontId="15" fillId="0" borderId="0" xfId="39" applyNumberFormat="1" applyFont="1" applyAlignment="1" applyProtection="1">
      <alignment horizontal="right" vertical="center"/>
      <protection hidden="1"/>
    </xf>
    <xf numFmtId="0" fontId="15" fillId="0" borderId="0" xfId="52" applyFont="1" applyAlignment="1">
      <alignment horizontal="justify" wrapText="1"/>
    </xf>
    <xf numFmtId="4" fontId="15" fillId="0" borderId="0" xfId="52" applyNumberFormat="1" applyFont="1" applyAlignment="1">
      <alignment horizontal="right"/>
    </xf>
    <xf numFmtId="0" fontId="15" fillId="0" borderId="0" xfId="52" applyFont="1" applyAlignment="1">
      <alignment horizontal="justify"/>
    </xf>
    <xf numFmtId="0" fontId="29" fillId="11" borderId="0" xfId="0" applyFont="1" applyFill="1" applyAlignment="1">
      <alignment vertical="center"/>
    </xf>
    <xf numFmtId="0" fontId="0" fillId="11" borderId="0" xfId="0" applyFill="1" applyAlignment="1">
      <alignment vertical="center"/>
    </xf>
    <xf numFmtId="0" fontId="15" fillId="11" borderId="0" xfId="0" applyFont="1" applyFill="1" applyAlignment="1">
      <alignment vertical="center"/>
    </xf>
    <xf numFmtId="0" fontId="16" fillId="11" borderId="0" xfId="0" applyFont="1" applyFill="1" applyAlignment="1">
      <alignment horizontal="right"/>
    </xf>
    <xf numFmtId="0" fontId="15" fillId="11" borderId="11" xfId="0" applyFont="1" applyFill="1" applyBorder="1" applyAlignment="1" applyProtection="1">
      <alignment horizontal="center" vertical="top" wrapText="1"/>
      <protection locked="0"/>
    </xf>
    <xf numFmtId="0" fontId="16" fillId="11" borderId="11" xfId="0" applyFont="1" applyFill="1" applyBorder="1" applyAlignment="1">
      <alignment horizontal="center" vertical="center"/>
    </xf>
    <xf numFmtId="0" fontId="15" fillId="11" borderId="11" xfId="0" applyFont="1" applyFill="1" applyBorder="1" applyAlignment="1" applyProtection="1">
      <alignment vertical="center" wrapText="1"/>
      <protection locked="0"/>
    </xf>
    <xf numFmtId="4" fontId="15" fillId="11" borderId="11" xfId="0" applyNumberFormat="1" applyFont="1" applyFill="1" applyBorder="1" applyAlignment="1">
      <alignment vertical="center"/>
    </xf>
    <xf numFmtId="0" fontId="16" fillId="11" borderId="11" xfId="0" applyFont="1" applyFill="1" applyBorder="1" applyAlignment="1" applyProtection="1">
      <alignment horizontal="center" vertical="center" wrapText="1"/>
      <protection locked="0"/>
    </xf>
    <xf numFmtId="4" fontId="15" fillId="11" borderId="11" xfId="0" applyNumberFormat="1" applyFont="1" applyFill="1" applyBorder="1" applyAlignment="1" applyProtection="1">
      <alignment horizontal="right" vertical="center" wrapText="1"/>
      <protection locked="0"/>
    </xf>
    <xf numFmtId="0" fontId="17" fillId="11" borderId="11" xfId="0" applyFont="1" applyFill="1" applyBorder="1" applyAlignment="1">
      <alignment vertical="center" wrapText="1"/>
    </xf>
    <xf numFmtId="0" fontId="0" fillId="0" borderId="0" xfId="0" applyAlignment="1">
      <alignment vertical="center"/>
    </xf>
    <xf numFmtId="0" fontId="17" fillId="0" borderId="3" xfId="36" applyNumberFormat="1" applyFont="1" applyFill="1" applyBorder="1" applyAlignment="1" applyProtection="1">
      <alignment vertical="top" wrapText="1"/>
    </xf>
    <xf numFmtId="4" fontId="20" fillId="0" borderId="0" xfId="36" applyNumberFormat="1" applyFont="1"/>
    <xf numFmtId="0" fontId="15" fillId="11" borderId="0" xfId="52" applyFont="1" applyFill="1" applyAlignment="1" applyProtection="1">
      <protection hidden="1"/>
    </xf>
    <xf numFmtId="0" fontId="17" fillId="0" borderId="0" xfId="36" applyNumberFormat="1" applyFont="1" applyFill="1" applyBorder="1" applyAlignment="1" applyProtection="1">
      <alignment vertical="top" wrapText="1"/>
    </xf>
    <xf numFmtId="0" fontId="17" fillId="0" borderId="3" xfId="52" applyFont="1" applyBorder="1" applyAlignment="1">
      <alignment vertical="top" wrapText="1"/>
    </xf>
    <xf numFmtId="0" fontId="20" fillId="0" borderId="0" xfId="52" applyFont="1" applyAlignment="1">
      <alignment horizontal="right"/>
    </xf>
    <xf numFmtId="0" fontId="17" fillId="0" borderId="0" xfId="52" applyFont="1" applyAlignment="1">
      <alignment vertical="center" wrapText="1"/>
    </xf>
    <xf numFmtId="0" fontId="25" fillId="0" borderId="0" xfId="52" applyFont="1" applyAlignment="1">
      <alignment vertical="center" wrapText="1"/>
    </xf>
    <xf numFmtId="0" fontId="17" fillId="0" borderId="16" xfId="52" applyFont="1" applyBorder="1" applyAlignment="1">
      <alignment horizontal="center" vertical="top" wrapText="1"/>
    </xf>
    <xf numFmtId="0" fontId="15" fillId="0" borderId="17" xfId="8" applyNumberFormat="1" applyFont="1" applyFill="1" applyBorder="1" applyAlignment="1">
      <alignment horizontal="center" vertical="top" wrapText="1"/>
    </xf>
    <xf numFmtId="0" fontId="29" fillId="0" borderId="0" xfId="37" applyFont="1" applyFill="1"/>
    <xf numFmtId="0" fontId="9" fillId="0" borderId="0" xfId="37" applyFont="1" applyFill="1"/>
    <xf numFmtId="0" fontId="30" fillId="0" borderId="0" xfId="37" applyFont="1" applyFill="1" applyProtection="1">
      <protection hidden="1"/>
    </xf>
    <xf numFmtId="0" fontId="15" fillId="0" borderId="0" xfId="37" applyFont="1" applyFill="1" applyAlignment="1" applyProtection="1">
      <alignment horizontal="right"/>
      <protection hidden="1"/>
    </xf>
    <xf numFmtId="0" fontId="15" fillId="0" borderId="11" xfId="37" applyNumberFormat="1" applyFont="1" applyFill="1" applyBorder="1" applyAlignment="1" applyProtection="1">
      <alignment horizontal="center" vertical="top" wrapText="1"/>
      <protection hidden="1"/>
    </xf>
    <xf numFmtId="0" fontId="9" fillId="0" borderId="0" xfId="37" applyFont="1" applyFill="1" applyAlignment="1">
      <alignment vertical="top"/>
    </xf>
    <xf numFmtId="165" fontId="15" fillId="0" borderId="0" xfId="37" applyNumberFormat="1" applyFont="1" applyFill="1" applyBorder="1" applyAlignment="1" applyProtection="1">
      <protection hidden="1"/>
    </xf>
    <xf numFmtId="0" fontId="18" fillId="0" borderId="0" xfId="37" applyNumberFormat="1" applyFont="1" applyFill="1" applyBorder="1" applyAlignment="1" applyProtection="1">
      <protection hidden="1"/>
    </xf>
    <xf numFmtId="0" fontId="31" fillId="0" borderId="0" xfId="37" applyFont="1" applyFill="1"/>
    <xf numFmtId="0" fontId="29" fillId="0" borderId="0" xfId="37" applyFont="1" applyFill="1" applyProtection="1">
      <protection hidden="1"/>
    </xf>
    <xf numFmtId="170" fontId="29" fillId="0" borderId="0" xfId="37" applyNumberFormat="1" applyFont="1" applyFill="1" applyProtection="1">
      <protection hidden="1"/>
    </xf>
    <xf numFmtId="0" fontId="9" fillId="0" borderId="0" xfId="37" applyFont="1" applyFill="1" applyProtection="1">
      <protection hidden="1"/>
    </xf>
    <xf numFmtId="0" fontId="32" fillId="0" borderId="0" xfId="37" applyNumberFormat="1" applyFont="1" applyFill="1" applyAlignment="1" applyProtection="1">
      <protection hidden="1"/>
    </xf>
    <xf numFmtId="0" fontId="15" fillId="0" borderId="0" xfId="37" applyFont="1" applyFill="1" applyAlignment="1">
      <alignment horizontal="center"/>
    </xf>
    <xf numFmtId="0" fontId="24" fillId="0" borderId="0" xfId="36" applyNumberFormat="1" applyFont="1" applyFill="1" applyBorder="1" applyAlignment="1" applyProtection="1">
      <alignment vertical="top" wrapText="1"/>
    </xf>
    <xf numFmtId="0" fontId="20" fillId="0" borderId="0" xfId="36" applyFont="1" applyAlignment="1">
      <alignment horizontal="right"/>
    </xf>
    <xf numFmtId="0" fontId="15" fillId="0" borderId="0" xfId="53" applyFont="1"/>
    <xf numFmtId="0" fontId="29" fillId="0" borderId="0" xfId="53" applyFont="1"/>
    <xf numFmtId="0" fontId="33" fillId="0" borderId="0" xfId="53"/>
    <xf numFmtId="0" fontId="18" fillId="0" borderId="0" xfId="53" applyFont="1" applyAlignment="1">
      <alignment horizontal="center"/>
    </xf>
    <xf numFmtId="0" fontId="15" fillId="0" borderId="0" xfId="53" applyFont="1" applyAlignment="1"/>
    <xf numFmtId="0" fontId="15" fillId="0" borderId="0" xfId="53" applyFont="1" applyAlignment="1">
      <alignment horizontal="left"/>
    </xf>
    <xf numFmtId="0" fontId="15" fillId="0" borderId="18" xfId="53" applyFont="1" applyBorder="1" applyAlignment="1"/>
    <xf numFmtId="0" fontId="15" fillId="0" borderId="11" xfId="53" applyFont="1" applyBorder="1" applyAlignment="1">
      <alignment horizontal="center" vertical="center" wrapText="1"/>
    </xf>
    <xf numFmtId="0" fontId="15" fillId="0" borderId="11" xfId="53" applyFont="1" applyBorder="1" applyAlignment="1">
      <alignment horizontal="justify" vertical="top" wrapText="1"/>
    </xf>
    <xf numFmtId="169" fontId="15" fillId="0" borderId="11" xfId="53" applyNumberFormat="1" applyFont="1" applyBorder="1" applyAlignment="1">
      <alignment horizontal="right" vertical="top" wrapText="1"/>
    </xf>
    <xf numFmtId="170" fontId="15" fillId="0" borderId="11" xfId="53" applyNumberFormat="1" applyFont="1" applyBorder="1" applyAlignment="1">
      <alignment horizontal="right" vertical="top" wrapText="1"/>
    </xf>
    <xf numFmtId="169" fontId="15" fillId="11" borderId="11" xfId="53" applyNumberFormat="1" applyFont="1" applyFill="1" applyBorder="1" applyAlignment="1">
      <alignment horizontal="right" vertical="top" wrapText="1"/>
    </xf>
    <xf numFmtId="170" fontId="15" fillId="0" borderId="11" xfId="53" applyNumberFormat="1" applyFont="1" applyFill="1" applyBorder="1" applyAlignment="1">
      <alignment horizontal="right" vertical="top" wrapText="1"/>
    </xf>
    <xf numFmtId="0" fontId="15" fillId="0" borderId="11" xfId="53" applyFont="1" applyBorder="1" applyAlignment="1">
      <alignment vertical="top" wrapText="1"/>
    </xf>
    <xf numFmtId="0" fontId="28" fillId="0" borderId="0" xfId="53" applyFont="1" applyAlignment="1">
      <alignment horizontal="center" wrapText="1"/>
    </xf>
    <xf numFmtId="0" fontId="28" fillId="0" borderId="0" xfId="53" applyFont="1" applyAlignment="1">
      <alignment horizontal="right"/>
    </xf>
    <xf numFmtId="0" fontId="16" fillId="0" borderId="0" xfId="34" applyFont="1"/>
    <xf numFmtId="0" fontId="34" fillId="0" borderId="0" xfId="34" applyFont="1"/>
    <xf numFmtId="0" fontId="16" fillId="0" borderId="0" xfId="34" applyFont="1" applyAlignment="1">
      <alignment horizontal="right"/>
    </xf>
    <xf numFmtId="0" fontId="15" fillId="0" borderId="0" xfId="34" applyFont="1" applyAlignment="1">
      <alignment horizontal="right"/>
    </xf>
    <xf numFmtId="0" fontId="15" fillId="0" borderId="11" xfId="34" applyFont="1" applyFill="1" applyBorder="1" applyAlignment="1">
      <alignment horizontal="center" vertical="top" wrapText="1"/>
    </xf>
    <xf numFmtId="0" fontId="18" fillId="0" borderId="11" xfId="34" applyFont="1" applyFill="1" applyBorder="1" applyAlignment="1" applyProtection="1">
      <alignment vertical="center" wrapText="1"/>
      <protection locked="0"/>
    </xf>
    <xf numFmtId="0" fontId="18" fillId="12" borderId="11" xfId="34" applyFont="1" applyFill="1" applyBorder="1" applyAlignment="1">
      <alignment horizontal="left" wrapText="1"/>
    </xf>
    <xf numFmtId="0" fontId="15" fillId="0" borderId="11" xfId="34" applyFont="1" applyFill="1" applyBorder="1" applyAlignment="1" applyProtection="1">
      <alignment vertical="center" wrapText="1"/>
      <protection locked="0"/>
    </xf>
    <xf numFmtId="0" fontId="15" fillId="0" borderId="11" xfId="34" applyFont="1" applyFill="1" applyBorder="1" applyAlignment="1">
      <alignment vertical="top" wrapText="1"/>
    </xf>
    <xf numFmtId="0" fontId="15" fillId="12" borderId="11" xfId="34" applyFont="1" applyFill="1" applyBorder="1" applyAlignment="1">
      <alignment horizontal="left" wrapText="1"/>
    </xf>
    <xf numFmtId="0" fontId="15" fillId="12" borderId="11" xfId="34" applyFont="1" applyFill="1" applyBorder="1" applyAlignment="1">
      <alignment horizontal="center" wrapText="1"/>
    </xf>
    <xf numFmtId="0" fontId="15" fillId="0" borderId="0" xfId="34" applyFont="1"/>
    <xf numFmtId="0" fontId="15" fillId="0" borderId="0" xfId="34" applyNumberFormat="1" applyFont="1" applyAlignment="1"/>
    <xf numFmtId="0" fontId="24" fillId="0" borderId="0" xfId="52" applyFont="1" applyAlignment="1">
      <alignment vertical="top" wrapText="1"/>
    </xf>
    <xf numFmtId="0" fontId="17" fillId="0" borderId="0" xfId="52" applyFont="1" applyAlignment="1">
      <alignment horizontal="right" vertical="top" wrapText="1"/>
    </xf>
    <xf numFmtId="0" fontId="34" fillId="0" borderId="0" xfId="34" applyFont="1" applyAlignment="1">
      <alignment horizontal="right"/>
    </xf>
    <xf numFmtId="4" fontId="18" fillId="0" borderId="11" xfId="34" applyNumberFormat="1" applyFont="1" applyBorder="1"/>
    <xf numFmtId="4" fontId="18" fillId="12" borderId="11" xfId="54" applyNumberFormat="1" applyFont="1" applyFill="1" applyBorder="1" applyAlignment="1"/>
    <xf numFmtId="4" fontId="15" fillId="0" borderId="11" xfId="34" applyNumberFormat="1" applyFont="1" applyFill="1" applyBorder="1" applyAlignment="1" applyProtection="1">
      <alignment vertical="center" wrapText="1"/>
      <protection locked="0"/>
    </xf>
    <xf numFmtId="4" fontId="15" fillId="12" borderId="11" xfId="54" applyNumberFormat="1" applyFont="1" applyFill="1" applyBorder="1" applyAlignment="1"/>
    <xf numFmtId="4" fontId="35" fillId="12" borderId="11" xfId="54" applyNumberFormat="1" applyFont="1" applyFill="1" applyBorder="1" applyAlignment="1"/>
    <xf numFmtId="169" fontId="15" fillId="0" borderId="0" xfId="37" applyNumberFormat="1" applyFont="1" applyFill="1" applyBorder="1" applyAlignment="1" applyProtection="1">
      <protection hidden="1"/>
    </xf>
    <xf numFmtId="169" fontId="18" fillId="0" borderId="0" xfId="37" applyNumberFormat="1" applyFont="1" applyFill="1" applyBorder="1" applyAlignment="1" applyProtection="1">
      <protection hidden="1"/>
    </xf>
    <xf numFmtId="0" fontId="15" fillId="0" borderId="0" xfId="0" applyFont="1" applyFill="1" applyAlignment="1" applyProtection="1">
      <alignment horizontal="center"/>
      <protection hidden="1"/>
    </xf>
    <xf numFmtId="167" fontId="28" fillId="0" borderId="0" xfId="49" applyNumberFormat="1" applyFont="1" applyFill="1" applyAlignment="1" applyProtection="1">
      <alignment horizontal="center" vertical="center" wrapText="1"/>
      <protection locked="0"/>
    </xf>
    <xf numFmtId="0" fontId="15" fillId="0" borderId="0" xfId="0" applyFont="1" applyFill="1" applyAlignment="1">
      <alignment horizontal="center"/>
    </xf>
    <xf numFmtId="0" fontId="29" fillId="0" borderId="0" xfId="0" applyFont="1" applyAlignment="1">
      <alignment horizontal="justify" wrapText="1"/>
    </xf>
    <xf numFmtId="0" fontId="29" fillId="11" borderId="0" xfId="0" applyFont="1" applyFill="1" applyAlignment="1">
      <alignment horizontal="justify" wrapText="1"/>
    </xf>
    <xf numFmtId="0" fontId="29" fillId="11" borderId="0" xfId="0" quotePrefix="1" applyFont="1" applyFill="1" applyAlignment="1">
      <alignment horizontal="justify" wrapText="1"/>
    </xf>
    <xf numFmtId="0" fontId="28" fillId="0" borderId="0" xfId="34" applyFont="1" applyAlignment="1">
      <alignment horizontal="center" vertical="center" wrapText="1"/>
    </xf>
    <xf numFmtId="0" fontId="15" fillId="0" borderId="0" xfId="37" applyFont="1" applyFill="1" applyAlignment="1">
      <alignment horizontal="center"/>
    </xf>
    <xf numFmtId="0" fontId="28" fillId="0" borderId="0" xfId="37" applyNumberFormat="1" applyFont="1" applyFill="1" applyAlignment="1" applyProtection="1">
      <alignment horizontal="center" wrapText="1"/>
      <protection hidden="1"/>
    </xf>
    <xf numFmtId="0" fontId="15" fillId="0" borderId="14" xfId="8" applyNumberFormat="1" applyFont="1" applyFill="1" applyBorder="1" applyAlignment="1">
      <alignment horizontal="center" vertical="top" wrapText="1"/>
    </xf>
    <xf numFmtId="0" fontId="15" fillId="0" borderId="15" xfId="8" applyNumberFormat="1" applyFont="1" applyFill="1" applyBorder="1" applyAlignment="1">
      <alignment horizontal="center" vertical="top" wrapText="1"/>
    </xf>
    <xf numFmtId="0" fontId="21" fillId="0" borderId="0" xfId="36" applyNumberFormat="1" applyFont="1" applyFill="1" applyBorder="1" applyAlignment="1" applyProtection="1">
      <alignment horizontal="center" vertical="center" wrapText="1"/>
    </xf>
    <xf numFmtId="0" fontId="17" fillId="0" borderId="4" xfId="36" applyNumberFormat="1" applyFont="1" applyFill="1" applyBorder="1" applyAlignment="1" applyProtection="1">
      <alignment horizontal="center" vertical="top" wrapText="1"/>
    </xf>
    <xf numFmtId="0" fontId="17" fillId="0" borderId="8" xfId="36" applyNumberFormat="1" applyFont="1" applyFill="1" applyBorder="1" applyAlignment="1" applyProtection="1">
      <alignment horizontal="center" vertical="top" wrapText="1"/>
    </xf>
    <xf numFmtId="0" fontId="17" fillId="0" borderId="5" xfId="36" applyNumberFormat="1" applyFont="1" applyFill="1" applyBorder="1" applyAlignment="1" applyProtection="1">
      <alignment horizontal="center" vertical="top" wrapText="1"/>
    </xf>
    <xf numFmtId="0" fontId="17" fillId="0" borderId="6" xfId="36" applyNumberFormat="1" applyFont="1" applyFill="1" applyBorder="1" applyAlignment="1" applyProtection="1">
      <alignment horizontal="center" vertical="top" wrapText="1"/>
    </xf>
    <xf numFmtId="0" fontId="17" fillId="0" borderId="7" xfId="36" applyNumberFormat="1" applyFont="1" applyFill="1" applyBorder="1" applyAlignment="1" applyProtection="1">
      <alignment horizontal="center" vertical="top" wrapText="1"/>
    </xf>
    <xf numFmtId="0" fontId="15" fillId="0" borderId="12" xfId="8" applyNumberFormat="1" applyFont="1" applyFill="1" applyBorder="1" applyAlignment="1">
      <alignment horizontal="center" vertical="top" wrapText="1"/>
    </xf>
    <xf numFmtId="0" fontId="15" fillId="0" borderId="13" xfId="8" applyNumberFormat="1" applyFont="1" applyFill="1" applyBorder="1" applyAlignment="1">
      <alignment horizontal="center" vertical="top"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17" fillId="0" borderId="0" xfId="52" applyFont="1" applyAlignment="1">
      <alignment horizontal="center" vertical="center" wrapText="1"/>
    </xf>
    <xf numFmtId="0" fontId="25" fillId="0" borderId="0" xfId="52" applyFont="1" applyAlignment="1">
      <alignment horizontal="center" vertical="center" wrapText="1"/>
    </xf>
    <xf numFmtId="0" fontId="21" fillId="0" borderId="0" xfId="52" applyFont="1" applyAlignment="1">
      <alignment horizontal="center" vertical="center" wrapText="1"/>
    </xf>
    <xf numFmtId="0" fontId="17" fillId="0" borderId="4" xfId="52" applyFont="1" applyBorder="1" applyAlignment="1">
      <alignment horizontal="center" vertical="top" wrapText="1"/>
    </xf>
    <xf numFmtId="0" fontId="17" fillId="0" borderId="8" xfId="52" applyFont="1" applyBorder="1" applyAlignment="1">
      <alignment horizontal="center" vertical="top" wrapText="1"/>
    </xf>
    <xf numFmtId="0" fontId="17" fillId="0" borderId="5" xfId="52" applyFont="1" applyBorder="1" applyAlignment="1">
      <alignment horizontal="center" vertical="top" wrapText="1"/>
    </xf>
    <xf numFmtId="0" fontId="17" fillId="0" borderId="6" xfId="52" applyFont="1" applyBorder="1" applyAlignment="1">
      <alignment horizontal="center" vertical="top" wrapText="1"/>
    </xf>
    <xf numFmtId="0" fontId="17" fillId="0" borderId="7" xfId="52" applyFont="1" applyBorder="1" applyAlignment="1">
      <alignment horizontal="center" vertical="top" wrapText="1"/>
    </xf>
    <xf numFmtId="0" fontId="17" fillId="0" borderId="0" xfId="52" applyFont="1" applyAlignment="1">
      <alignment horizontal="center" vertical="center"/>
    </xf>
    <xf numFmtId="49" fontId="17" fillId="0" borderId="0" xfId="52" applyNumberFormat="1" applyFont="1" applyAlignment="1">
      <alignment horizontal="center" vertical="center"/>
    </xf>
    <xf numFmtId="0" fontId="15" fillId="0" borderId="0" xfId="50" applyFont="1" applyFill="1" applyAlignment="1">
      <alignment horizontal="center"/>
    </xf>
    <xf numFmtId="0" fontId="15" fillId="0" borderId="0" xfId="34" applyFont="1" applyAlignment="1">
      <alignment horizontal="center"/>
    </xf>
    <xf numFmtId="0" fontId="15" fillId="0" borderId="11" xfId="34" applyFont="1" applyFill="1" applyBorder="1" applyAlignment="1">
      <alignment horizontal="center" vertical="top" wrapText="1"/>
    </xf>
    <xf numFmtId="0" fontId="28" fillId="0" borderId="0" xfId="34" applyFont="1" applyFill="1" applyBorder="1" applyAlignment="1" applyProtection="1">
      <alignment horizontal="center" vertical="center" wrapText="1"/>
      <protection locked="0"/>
    </xf>
    <xf numFmtId="0" fontId="28" fillId="11" borderId="0" xfId="0" applyFont="1" applyFill="1" applyAlignment="1" applyProtection="1">
      <alignment horizontal="center" vertical="center" wrapText="1"/>
      <protection locked="0"/>
    </xf>
    <xf numFmtId="0" fontId="15" fillId="11" borderId="0" xfId="0" applyFont="1" applyFill="1" applyAlignment="1">
      <alignment horizontal="center" vertical="center"/>
    </xf>
    <xf numFmtId="0" fontId="15" fillId="0" borderId="14" xfId="53" applyFont="1" applyBorder="1" applyAlignment="1">
      <alignment horizontal="center" vertical="center" wrapText="1"/>
    </xf>
    <xf numFmtId="0" fontId="15" fillId="0" borderId="15" xfId="53" applyFont="1" applyBorder="1" applyAlignment="1">
      <alignment horizontal="center" vertical="center" wrapText="1"/>
    </xf>
    <xf numFmtId="0" fontId="28" fillId="0" borderId="0" xfId="53" applyFont="1" applyAlignment="1">
      <alignment horizontal="center" wrapText="1"/>
    </xf>
    <xf numFmtId="0" fontId="15" fillId="0" borderId="0" xfId="53" applyFont="1" applyAlignment="1">
      <alignment horizontal="center"/>
    </xf>
    <xf numFmtId="0" fontId="15" fillId="0" borderId="11" xfId="53" applyFont="1" applyBorder="1" applyAlignment="1">
      <alignment horizontal="center" vertical="top" wrapText="1"/>
    </xf>
    <xf numFmtId="0" fontId="15" fillId="0" borderId="19" xfId="53" applyFont="1" applyBorder="1" applyAlignment="1">
      <alignment horizontal="center" vertical="top" wrapText="1"/>
    </xf>
    <xf numFmtId="0" fontId="15" fillId="0" borderId="20" xfId="53" applyFont="1" applyBorder="1" applyAlignment="1">
      <alignment horizontal="center" vertical="top" wrapText="1"/>
    </xf>
    <xf numFmtId="0" fontId="28" fillId="0" borderId="0" xfId="53" applyFont="1" applyAlignment="1">
      <alignment horizontal="center"/>
    </xf>
    <xf numFmtId="4" fontId="9" fillId="0" borderId="0" xfId="37" applyNumberFormat="1" applyFont="1" applyFill="1"/>
    <xf numFmtId="4" fontId="9" fillId="0" borderId="0" xfId="37" applyNumberFormat="1" applyFont="1" applyFill="1" applyAlignment="1">
      <alignment vertical="top"/>
    </xf>
  </cellXfs>
  <cellStyles count="55">
    <cellStyle name="Данные (редактируемые)" xfId="1" xr:uid="{00000000-0005-0000-0000-000000000000}"/>
    <cellStyle name="Данные (только для чтения)" xfId="2" xr:uid="{00000000-0005-0000-0000-000001000000}"/>
    <cellStyle name="Данные для удаления" xfId="3" xr:uid="{00000000-0005-0000-0000-000002000000}"/>
    <cellStyle name="Заголовки полей" xfId="4" xr:uid="{00000000-0005-0000-0000-000003000000}"/>
    <cellStyle name="Заголовки полей [печать]" xfId="5" xr:uid="{00000000-0005-0000-0000-000004000000}"/>
    <cellStyle name="Заголовки полей_431_1917_Доходы" xfId="6" xr:uid="{00000000-0005-0000-0000-000005000000}"/>
    <cellStyle name="Заголовок меры" xfId="7" xr:uid="{00000000-0005-0000-0000-000006000000}"/>
    <cellStyle name="Заголовок показателя [печать]" xfId="8" xr:uid="{00000000-0005-0000-0000-000007000000}"/>
    <cellStyle name="Заголовок показателя константы" xfId="9" xr:uid="{00000000-0005-0000-0000-000008000000}"/>
    <cellStyle name="Заголовок результата расчета" xfId="10" xr:uid="{00000000-0005-0000-0000-000009000000}"/>
    <cellStyle name="Заголовок свободного показателя" xfId="11" xr:uid="{00000000-0005-0000-0000-00000A000000}"/>
    <cellStyle name="Значение фильтра" xfId="12" xr:uid="{00000000-0005-0000-0000-00000B000000}"/>
    <cellStyle name="Значение фильтра [печать]" xfId="13" xr:uid="{00000000-0005-0000-0000-00000C000000}"/>
    <cellStyle name="Значение фильтра_431_1917_Доходы" xfId="14" xr:uid="{00000000-0005-0000-0000-00000D000000}"/>
    <cellStyle name="Информация о задаче" xfId="15" xr:uid="{00000000-0005-0000-0000-00000E000000}"/>
    <cellStyle name="Обычный" xfId="0" builtinId="0"/>
    <cellStyle name="Обычный 2" xfId="34" xr:uid="{00000000-0005-0000-0000-000010000000}"/>
    <cellStyle name="Обычный 2 2" xfId="37" xr:uid="{00000000-0005-0000-0000-000011000000}"/>
    <cellStyle name="Обычный 2 2 2" xfId="39" xr:uid="{00000000-0005-0000-0000-000012000000}"/>
    <cellStyle name="Обычный 3" xfId="36" xr:uid="{00000000-0005-0000-0000-000013000000}"/>
    <cellStyle name="Обычный 3 2" xfId="41" xr:uid="{00000000-0005-0000-0000-000014000000}"/>
    <cellStyle name="Обычный 3 2 2" xfId="45" xr:uid="{00000000-0005-0000-0000-000015000000}"/>
    <cellStyle name="Обычный 3 3" xfId="42" xr:uid="{00000000-0005-0000-0000-000016000000}"/>
    <cellStyle name="Обычный 3 4" xfId="43" xr:uid="{00000000-0005-0000-0000-000017000000}"/>
    <cellStyle name="Обычный 3 4 2" xfId="47" xr:uid="{00000000-0005-0000-0000-000018000000}"/>
    <cellStyle name="Обычный 3 5" xfId="44" xr:uid="{00000000-0005-0000-0000-000019000000}"/>
    <cellStyle name="Обычный 3 6" xfId="46" xr:uid="{00000000-0005-0000-0000-00001A000000}"/>
    <cellStyle name="Обычный 3 7" xfId="50" xr:uid="{00000000-0005-0000-0000-00001B000000}"/>
    <cellStyle name="Обычный 3 8" xfId="52" xr:uid="{00000000-0005-0000-0000-00001C000000}"/>
    <cellStyle name="Обычный 4" xfId="40" xr:uid="{00000000-0005-0000-0000-00001D000000}"/>
    <cellStyle name="Обычный 4 2" xfId="53" xr:uid="{00000000-0005-0000-0000-00001E000000}"/>
    <cellStyle name="Обычный_431_1917_Доходы" xfId="48" xr:uid="{00000000-0005-0000-0000-00001F000000}"/>
    <cellStyle name="Обычный_Прил3" xfId="35" xr:uid="{00000000-0005-0000-0000-000020000000}"/>
    <cellStyle name="Обычный_Прил4" xfId="38" xr:uid="{00000000-0005-0000-0000-000021000000}"/>
    <cellStyle name="Обычный_Уточнение_3_Доходы_пр-37н" xfId="49" xr:uid="{00000000-0005-0000-0000-000022000000}"/>
    <cellStyle name="Отдельная ячейка" xfId="16" xr:uid="{00000000-0005-0000-0000-000023000000}"/>
    <cellStyle name="Отдельная ячейка - константа" xfId="17" xr:uid="{00000000-0005-0000-0000-000024000000}"/>
    <cellStyle name="Отдельная ячейка - константа [печать]" xfId="18" xr:uid="{00000000-0005-0000-0000-000025000000}"/>
    <cellStyle name="Отдельная ячейка - константа_431_1917_Доходы" xfId="19" xr:uid="{00000000-0005-0000-0000-000026000000}"/>
    <cellStyle name="Отдельная ячейка [печать]" xfId="20" xr:uid="{00000000-0005-0000-0000-000027000000}"/>
    <cellStyle name="Отдельная ячейка_431_1917_Доходы" xfId="21" xr:uid="{00000000-0005-0000-0000-000028000000}"/>
    <cellStyle name="Отдельная ячейка-результат" xfId="22" xr:uid="{00000000-0005-0000-0000-000029000000}"/>
    <cellStyle name="Отдельная ячейка-результат [печать]" xfId="23" xr:uid="{00000000-0005-0000-0000-00002A000000}"/>
    <cellStyle name="Отдельная ячейка-результат_431_1917_Доходы" xfId="24" xr:uid="{00000000-0005-0000-0000-00002B000000}"/>
    <cellStyle name="Свойства элементов измерения" xfId="25" xr:uid="{00000000-0005-0000-0000-00002C000000}"/>
    <cellStyle name="Свойства элементов измерения [печать]" xfId="26" xr:uid="{00000000-0005-0000-0000-00002D000000}"/>
    <cellStyle name="Свойства элементов измерения_431_1917_Доходы" xfId="27" xr:uid="{00000000-0005-0000-0000-00002E000000}"/>
    <cellStyle name="Финансовый [0] 2" xfId="54" xr:uid="{00000000-0005-0000-0000-00002F000000}"/>
    <cellStyle name="Финансовый 2" xfId="28" xr:uid="{00000000-0005-0000-0000-000030000000}"/>
    <cellStyle name="Финансовый 2 2" xfId="51" xr:uid="{00000000-0005-0000-0000-000031000000}"/>
    <cellStyle name="Элементы осей" xfId="29" xr:uid="{00000000-0005-0000-0000-000032000000}"/>
    <cellStyle name="Элементы осей [печать]" xfId="30" xr:uid="{00000000-0005-0000-0000-000033000000}"/>
    <cellStyle name="Элементы осей [печать] 2" xfId="31" xr:uid="{00000000-0005-0000-0000-000034000000}"/>
    <cellStyle name="Элементы осей [печать] 2 2" xfId="33" xr:uid="{00000000-0005-0000-0000-000035000000}"/>
    <cellStyle name="Элементы осей_431_1917_Доходы" xfId="32" xr:uid="{00000000-0005-0000-0000-000036000000}"/>
  </cellStyles>
  <dxfs count="0"/>
  <tableStyles count="0" defaultTableStyle="TableStyleMedium2" defaultPivotStyle="PivotStyleLight16"/>
  <colors>
    <mruColors>
      <color rgb="FF008080"/>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14</xdr:row>
      <xdr:rowOff>0</xdr:rowOff>
    </xdr:from>
    <xdr:to>
      <xdr:col>1</xdr:col>
      <xdr:colOff>2971800</xdr:colOff>
      <xdr:row>14</xdr:row>
      <xdr:rowOff>200025</xdr:rowOff>
    </xdr:to>
    <xdr:sp macro="" textlink="">
      <xdr:nvSpPr>
        <xdr:cNvPr id="2"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3295650" y="5762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3"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3295650"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4"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3295650" y="11544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200025</xdr:rowOff>
    </xdr:to>
    <xdr:sp macro="" textlink="">
      <xdr:nvSpPr>
        <xdr:cNvPr id="5" name="Text Box 1">
          <a:extLst>
            <a:ext uri="{FF2B5EF4-FFF2-40B4-BE49-F238E27FC236}">
              <a16:creationId xmlns:a16="http://schemas.microsoft.com/office/drawing/2014/main" id="{00000000-0008-0000-0400-000006000000}"/>
            </a:ext>
          </a:extLst>
        </xdr:cNvPr>
        <xdr:cNvSpPr txBox="1">
          <a:spLocks noChangeArrowheads="1"/>
        </xdr:cNvSpPr>
      </xdr:nvSpPr>
      <xdr:spPr bwMode="auto">
        <a:xfrm>
          <a:off x="3295650" y="1214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6" name="Text Box 1">
          <a:extLst>
            <a:ext uri="{FF2B5EF4-FFF2-40B4-BE49-F238E27FC236}">
              <a16:creationId xmlns:a16="http://schemas.microsoft.com/office/drawing/2014/main" id="{00000000-0008-0000-0400-000007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a16="http://schemas.microsoft.com/office/drawing/2014/main" id="{00000000-0008-0000-0400-000008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a16="http://schemas.microsoft.com/office/drawing/2014/main" id="{00000000-0008-0000-0400-000009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18</xdr:row>
      <xdr:rowOff>0</xdr:rowOff>
    </xdr:from>
    <xdr:to>
      <xdr:col>1</xdr:col>
      <xdr:colOff>2971800</xdr:colOff>
      <xdr:row>18</xdr:row>
      <xdr:rowOff>200025</xdr:rowOff>
    </xdr:to>
    <xdr:sp macro="" textlink="">
      <xdr:nvSpPr>
        <xdr:cNvPr id="9" name="Text Box 1">
          <a:extLst>
            <a:ext uri="{FF2B5EF4-FFF2-40B4-BE49-F238E27FC236}">
              <a16:creationId xmlns:a16="http://schemas.microsoft.com/office/drawing/2014/main" id="{00000000-0008-0000-0400-00000A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19</xdr:row>
      <xdr:rowOff>0</xdr:rowOff>
    </xdr:from>
    <xdr:to>
      <xdr:col>1</xdr:col>
      <xdr:colOff>2971800</xdr:colOff>
      <xdr:row>19</xdr:row>
      <xdr:rowOff>200025</xdr:rowOff>
    </xdr:to>
    <xdr:sp macro="" textlink="">
      <xdr:nvSpPr>
        <xdr:cNvPr id="10" name="Text Box 1">
          <a:extLst>
            <a:ext uri="{FF2B5EF4-FFF2-40B4-BE49-F238E27FC236}">
              <a16:creationId xmlns:a16="http://schemas.microsoft.com/office/drawing/2014/main" id="{00000000-0008-0000-0400-00000B000000}"/>
            </a:ext>
          </a:extLst>
        </xdr:cNvPr>
        <xdr:cNvSpPr txBox="1">
          <a:spLocks noChangeArrowheads="1"/>
        </xdr:cNvSpPr>
      </xdr:nvSpPr>
      <xdr:spPr bwMode="auto">
        <a:xfrm>
          <a:off x="3295650" y="12944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46</xdr:row>
      <xdr:rowOff>0</xdr:rowOff>
    </xdr:from>
    <xdr:to>
      <xdr:col>1</xdr:col>
      <xdr:colOff>2971800</xdr:colOff>
      <xdr:row>50</xdr:row>
      <xdr:rowOff>1238250</xdr:rowOff>
    </xdr:to>
    <xdr:sp macro="" textlink="">
      <xdr:nvSpPr>
        <xdr:cNvPr id="11" name="Text Box 1">
          <a:extLst>
            <a:ext uri="{FF2B5EF4-FFF2-40B4-BE49-F238E27FC236}">
              <a16:creationId xmlns:a16="http://schemas.microsoft.com/office/drawing/2014/main" id="{00000000-0008-0000-0400-00000C000000}"/>
            </a:ext>
          </a:extLst>
        </xdr:cNvPr>
        <xdr:cNvSpPr txBox="1">
          <a:spLocks noChangeArrowheads="1"/>
        </xdr:cNvSpPr>
      </xdr:nvSpPr>
      <xdr:spPr bwMode="auto">
        <a:xfrm>
          <a:off x="3295650" y="44596050"/>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2" name="Text Box 1">
          <a:extLst>
            <a:ext uri="{FF2B5EF4-FFF2-40B4-BE49-F238E27FC236}">
              <a16:creationId xmlns:a16="http://schemas.microsoft.com/office/drawing/2014/main" id="{00000000-0008-0000-0400-00000D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3" name="Text Box 1">
          <a:extLst>
            <a:ext uri="{FF2B5EF4-FFF2-40B4-BE49-F238E27FC236}">
              <a16:creationId xmlns:a16="http://schemas.microsoft.com/office/drawing/2014/main" id="{00000000-0008-0000-0400-00000E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4" name="Text Box 1">
          <a:extLst>
            <a:ext uri="{FF2B5EF4-FFF2-40B4-BE49-F238E27FC236}">
              <a16:creationId xmlns:a16="http://schemas.microsoft.com/office/drawing/2014/main" id="{00000000-0008-0000-0400-00000F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5" name="Text Box 1">
          <a:extLst>
            <a:ext uri="{FF2B5EF4-FFF2-40B4-BE49-F238E27FC236}">
              <a16:creationId xmlns:a16="http://schemas.microsoft.com/office/drawing/2014/main" id="{00000000-0008-0000-0400-000010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6" name="Text Box 1">
          <a:extLst>
            <a:ext uri="{FF2B5EF4-FFF2-40B4-BE49-F238E27FC236}">
              <a16:creationId xmlns:a16="http://schemas.microsoft.com/office/drawing/2014/main" id="{00000000-0008-0000-0400-000011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7" name="Text Box 1">
          <a:extLst>
            <a:ext uri="{FF2B5EF4-FFF2-40B4-BE49-F238E27FC236}">
              <a16:creationId xmlns:a16="http://schemas.microsoft.com/office/drawing/2014/main" id="{00000000-0008-0000-0400-000012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8" name="Text Box 1">
          <a:extLst>
            <a:ext uri="{FF2B5EF4-FFF2-40B4-BE49-F238E27FC236}">
              <a16:creationId xmlns:a16="http://schemas.microsoft.com/office/drawing/2014/main" id="{00000000-0008-0000-0400-000013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9" name="Text Box 1">
          <a:extLst>
            <a:ext uri="{FF2B5EF4-FFF2-40B4-BE49-F238E27FC236}">
              <a16:creationId xmlns:a16="http://schemas.microsoft.com/office/drawing/2014/main" id="{00000000-0008-0000-0400-000014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sheetPr>
  <dimension ref="A1:G42"/>
  <sheetViews>
    <sheetView view="pageBreakPreview" topLeftCell="A22" zoomScaleNormal="80" zoomScaleSheetLayoutView="100" workbookViewId="0">
      <selection activeCell="G39" sqref="G39"/>
    </sheetView>
  </sheetViews>
  <sheetFormatPr defaultColWidth="31" defaultRowHeight="15.6"/>
  <cols>
    <col min="1" max="1" width="28.33203125" style="104" customWidth="1"/>
    <col min="2" max="2" width="47.5546875" style="94" customWidth="1"/>
    <col min="3" max="3" width="20.5546875" style="95" customWidth="1"/>
    <col min="4" max="4" width="19.33203125" style="93" customWidth="1"/>
    <col min="5" max="5" width="20" style="93" customWidth="1"/>
    <col min="6" max="6" width="16.88671875" style="105" customWidth="1"/>
    <col min="7" max="7" width="7.109375" style="105" bestFit="1" customWidth="1"/>
    <col min="8" max="16384" width="31" style="93"/>
  </cols>
  <sheetData>
    <row r="1" spans="1:7">
      <c r="A1" s="92"/>
      <c r="B1" s="72"/>
      <c r="C1" s="244" t="s">
        <v>417</v>
      </c>
      <c r="D1" s="244"/>
      <c r="E1" s="244"/>
    </row>
    <row r="2" spans="1:7">
      <c r="A2" s="92"/>
      <c r="B2" s="72"/>
      <c r="C2" s="244" t="s">
        <v>3</v>
      </c>
      <c r="D2" s="244"/>
      <c r="E2" s="244"/>
    </row>
    <row r="3" spans="1:7">
      <c r="A3" s="92"/>
      <c r="B3" s="72"/>
      <c r="C3" s="244" t="s">
        <v>486</v>
      </c>
      <c r="D3" s="244"/>
      <c r="E3" s="244"/>
    </row>
    <row r="4" spans="1:7">
      <c r="A4" s="92"/>
      <c r="B4" s="72"/>
      <c r="C4" s="244" t="s">
        <v>487</v>
      </c>
      <c r="D4" s="244"/>
      <c r="E4" s="244"/>
    </row>
    <row r="5" spans="1:7">
      <c r="A5" s="92"/>
      <c r="B5" s="72"/>
      <c r="C5" s="244" t="s">
        <v>488</v>
      </c>
      <c r="D5" s="244"/>
      <c r="E5" s="244"/>
    </row>
    <row r="6" spans="1:7">
      <c r="A6" s="92"/>
      <c r="B6" s="72"/>
      <c r="C6" s="244" t="s">
        <v>489</v>
      </c>
      <c r="D6" s="244"/>
      <c r="E6" s="244"/>
    </row>
    <row r="7" spans="1:7">
      <c r="A7" s="92"/>
      <c r="B7" s="72"/>
      <c r="C7" s="72"/>
    </row>
    <row r="8" spans="1:7" ht="54" customHeight="1">
      <c r="A8" s="245" t="s">
        <v>485</v>
      </c>
      <c r="B8" s="245"/>
      <c r="C8" s="245"/>
      <c r="D8" s="245"/>
      <c r="E8" s="245"/>
    </row>
    <row r="9" spans="1:7">
      <c r="A9" s="92" t="s">
        <v>1</v>
      </c>
      <c r="B9" s="96"/>
    </row>
    <row r="10" spans="1:7">
      <c r="A10" s="97"/>
      <c r="B10" s="98"/>
      <c r="E10" s="99" t="s">
        <v>2</v>
      </c>
    </row>
    <row r="11" spans="1:7" s="103" customFormat="1" ht="171.6">
      <c r="A11" s="100" t="s">
        <v>0</v>
      </c>
      <c r="B11" s="101" t="s">
        <v>419</v>
      </c>
      <c r="C11" s="102" t="s">
        <v>491</v>
      </c>
      <c r="D11" s="102" t="s">
        <v>490</v>
      </c>
      <c r="E11" s="102" t="s">
        <v>492</v>
      </c>
      <c r="F11" s="106"/>
      <c r="G11" s="106"/>
    </row>
    <row r="12" spans="1:7">
      <c r="A12" s="107" t="s">
        <v>420</v>
      </c>
      <c r="B12" s="108" t="s">
        <v>421</v>
      </c>
      <c r="C12" s="109">
        <f>C13+C15+C17+C20+C23+C26+C28+C30+C33</f>
        <v>134035637.57000001</v>
      </c>
      <c r="D12" s="109">
        <f t="shared" ref="D12:E12" si="0">D13+D15+D17+D20+D23+D26+D28+D30+D33</f>
        <v>134035637.57000001</v>
      </c>
      <c r="E12" s="109">
        <f t="shared" si="0"/>
        <v>143353978.00999999</v>
      </c>
      <c r="F12" s="105">
        <f>E12/D12*100</f>
        <v>106.95213646828327</v>
      </c>
      <c r="G12" s="105">
        <f>E12/$E$42*100</f>
        <v>94.27346147145073</v>
      </c>
    </row>
    <row r="13" spans="1:7">
      <c r="A13" s="107" t="s">
        <v>422</v>
      </c>
      <c r="B13" s="108" t="s">
        <v>423</v>
      </c>
      <c r="C13" s="109">
        <f>C14</f>
        <v>45614930.68</v>
      </c>
      <c r="D13" s="109">
        <f t="shared" ref="D13:E13" si="1">D14</f>
        <v>45614930.68</v>
      </c>
      <c r="E13" s="109">
        <f t="shared" si="1"/>
        <v>58109799.590000004</v>
      </c>
      <c r="F13" s="105">
        <f t="shared" ref="F13:F42" si="2">E13/D13*100</f>
        <v>127.39205940628212</v>
      </c>
      <c r="G13" s="105">
        <f t="shared" ref="G13:G42" si="3">E13/$E$42*100</f>
        <v>38.214579245086895</v>
      </c>
    </row>
    <row r="14" spans="1:7">
      <c r="A14" s="107" t="s">
        <v>424</v>
      </c>
      <c r="B14" s="108" t="s">
        <v>425</v>
      </c>
      <c r="C14" s="109">
        <f>45013351.23+601579.45</f>
        <v>45614930.68</v>
      </c>
      <c r="D14" s="109">
        <v>45614930.68</v>
      </c>
      <c r="E14" s="109">
        <f>57423376.17+102594.1+87139.39+496689.93</f>
        <v>58109799.590000004</v>
      </c>
      <c r="F14" s="105">
        <f t="shared" si="2"/>
        <v>127.39205940628212</v>
      </c>
      <c r="G14" s="105">
        <f t="shared" si="3"/>
        <v>38.214579245086895</v>
      </c>
    </row>
    <row r="15" spans="1:7">
      <c r="A15" s="107" t="s">
        <v>426</v>
      </c>
      <c r="B15" s="108" t="s">
        <v>427</v>
      </c>
      <c r="C15" s="109">
        <f>C16</f>
        <v>21091.5</v>
      </c>
      <c r="D15" s="109">
        <f t="shared" ref="D15:E15" si="4">D16</f>
        <v>21091.5</v>
      </c>
      <c r="E15" s="109">
        <f t="shared" si="4"/>
        <v>10506.5</v>
      </c>
      <c r="F15" s="105">
        <f t="shared" si="2"/>
        <v>49.813906075907354</v>
      </c>
      <c r="G15" s="105">
        <f t="shared" si="3"/>
        <v>6.9093591730025345E-3</v>
      </c>
    </row>
    <row r="16" spans="1:7" ht="62.4">
      <c r="A16" s="107" t="s">
        <v>428</v>
      </c>
      <c r="B16" s="108" t="s">
        <v>429</v>
      </c>
      <c r="C16" s="109">
        <v>21091.5</v>
      </c>
      <c r="D16" s="109">
        <v>21091.5</v>
      </c>
      <c r="E16" s="109">
        <v>10506.5</v>
      </c>
      <c r="F16" s="105">
        <f t="shared" si="2"/>
        <v>49.813906075907354</v>
      </c>
      <c r="G16" s="105">
        <f t="shared" si="3"/>
        <v>6.9093591730025345E-3</v>
      </c>
    </row>
    <row r="17" spans="1:7">
      <c r="A17" s="107" t="s">
        <v>430</v>
      </c>
      <c r="B17" s="108" t="s">
        <v>431</v>
      </c>
      <c r="C17" s="109">
        <f>SUM(C18:C19)</f>
        <v>67054540</v>
      </c>
      <c r="D17" s="109">
        <f t="shared" ref="D17:E17" si="5">SUM(D18:D19)</f>
        <v>67054540</v>
      </c>
      <c r="E17" s="109">
        <f t="shared" si="5"/>
        <v>64640132.009999998</v>
      </c>
      <c r="F17" s="105">
        <f t="shared" si="2"/>
        <v>96.399337032212884</v>
      </c>
      <c r="G17" s="105">
        <f t="shared" si="3"/>
        <v>42.509102845608744</v>
      </c>
    </row>
    <row r="18" spans="1:7">
      <c r="A18" s="110" t="s">
        <v>432</v>
      </c>
      <c r="B18" s="111" t="s">
        <v>433</v>
      </c>
      <c r="C18" s="109">
        <v>2377940</v>
      </c>
      <c r="D18" s="109">
        <v>2377940</v>
      </c>
      <c r="E18" s="109">
        <v>2708503.01</v>
      </c>
      <c r="F18" s="105">
        <f t="shared" si="2"/>
        <v>113.90123426158776</v>
      </c>
      <c r="G18" s="105">
        <f t="shared" si="3"/>
        <v>1.7811849918858302</v>
      </c>
    </row>
    <row r="19" spans="1:7">
      <c r="A19" s="107" t="s">
        <v>434</v>
      </c>
      <c r="B19" s="108" t="s">
        <v>435</v>
      </c>
      <c r="C19" s="109">
        <v>64676600</v>
      </c>
      <c r="D19" s="109">
        <v>64676600</v>
      </c>
      <c r="E19" s="109">
        <f>59660299.01+2271329.99</f>
        <v>61931629</v>
      </c>
      <c r="F19" s="105">
        <f t="shared" si="2"/>
        <v>95.755851420761147</v>
      </c>
      <c r="G19" s="105">
        <f t="shared" si="3"/>
        <v>40.727917853722914</v>
      </c>
    </row>
    <row r="20" spans="1:7" ht="46.8">
      <c r="A20" s="107" t="s">
        <v>469</v>
      </c>
      <c r="B20" s="108" t="s">
        <v>473</v>
      </c>
      <c r="C20" s="109">
        <f>C21</f>
        <v>0</v>
      </c>
      <c r="D20" s="109">
        <f t="shared" ref="D20:E21" si="6">D21</f>
        <v>0</v>
      </c>
      <c r="E20" s="109">
        <f t="shared" si="6"/>
        <v>-5422.69</v>
      </c>
      <c r="F20" s="105" t="e">
        <f t="shared" si="2"/>
        <v>#DIV/0!</v>
      </c>
      <c r="G20" s="105">
        <f t="shared" si="3"/>
        <v>-3.566107923080865E-3</v>
      </c>
    </row>
    <row r="21" spans="1:7">
      <c r="A21" s="107" t="s">
        <v>470</v>
      </c>
      <c r="B21" s="108" t="s">
        <v>474</v>
      </c>
      <c r="C21" s="109">
        <f>C22</f>
        <v>0</v>
      </c>
      <c r="D21" s="109">
        <f t="shared" si="6"/>
        <v>0</v>
      </c>
      <c r="E21" s="109">
        <f>E22</f>
        <v>-5422.69</v>
      </c>
      <c r="F21" s="105" t="e">
        <f t="shared" si="2"/>
        <v>#DIV/0!</v>
      </c>
      <c r="G21" s="105">
        <f t="shared" si="3"/>
        <v>-3.566107923080865E-3</v>
      </c>
    </row>
    <row r="22" spans="1:7" ht="31.2">
      <c r="A22" s="107" t="s">
        <v>471</v>
      </c>
      <c r="B22" s="108" t="s">
        <v>475</v>
      </c>
      <c r="C22" s="109">
        <v>0</v>
      </c>
      <c r="D22" s="109">
        <v>0</v>
      </c>
      <c r="E22" s="109">
        <f>-5422.69</f>
        <v>-5422.69</v>
      </c>
      <c r="F22" s="105" t="e">
        <f t="shared" si="2"/>
        <v>#DIV/0!</v>
      </c>
      <c r="G22" s="105">
        <f t="shared" si="3"/>
        <v>-3.566107923080865E-3</v>
      </c>
    </row>
    <row r="23" spans="1:7" ht="62.4">
      <c r="A23" s="107" t="s">
        <v>436</v>
      </c>
      <c r="B23" s="108" t="s">
        <v>437</v>
      </c>
      <c r="C23" s="109">
        <f>SUM(C24:C25)</f>
        <v>18433566.75</v>
      </c>
      <c r="D23" s="109">
        <f t="shared" ref="D23:E23" si="7">SUM(D24:D25)</f>
        <v>18433566.75</v>
      </c>
      <c r="E23" s="109">
        <f t="shared" si="7"/>
        <v>18231109.290000003</v>
      </c>
      <c r="F23" s="105">
        <f t="shared" si="2"/>
        <v>98.901691339794567</v>
      </c>
      <c r="G23" s="105">
        <f t="shared" si="3"/>
        <v>11.989271613465306</v>
      </c>
    </row>
    <row r="24" spans="1:7" ht="124.8">
      <c r="A24" s="107" t="s">
        <v>438</v>
      </c>
      <c r="B24" s="108" t="s">
        <v>439</v>
      </c>
      <c r="C24" s="109">
        <f>10747032.15+6749525.6+84500+33486.85</f>
        <v>17614544.600000001</v>
      </c>
      <c r="D24" s="109">
        <v>17614544.600000001</v>
      </c>
      <c r="E24" s="109">
        <f>35378.13+17342918.44+33486.85</f>
        <v>17411783.420000002</v>
      </c>
      <c r="F24" s="105">
        <f t="shared" si="2"/>
        <v>98.848899108070043</v>
      </c>
      <c r="G24" s="105">
        <f t="shared" si="3"/>
        <v>11.450460713968539</v>
      </c>
    </row>
    <row r="25" spans="1:7" ht="109.2">
      <c r="A25" s="107" t="s">
        <v>440</v>
      </c>
      <c r="B25" s="108" t="s">
        <v>441</v>
      </c>
      <c r="C25" s="109">
        <v>819022.15</v>
      </c>
      <c r="D25" s="109">
        <v>819022.15</v>
      </c>
      <c r="E25" s="109">
        <v>819325.87</v>
      </c>
      <c r="F25" s="105">
        <f t="shared" si="2"/>
        <v>100.0370832461613</v>
      </c>
      <c r="G25" s="105">
        <f t="shared" si="3"/>
        <v>0.53881089949676697</v>
      </c>
    </row>
    <row r="26" spans="1:7" ht="31.2">
      <c r="A26" s="107" t="s">
        <v>479</v>
      </c>
      <c r="B26" s="108" t="s">
        <v>481</v>
      </c>
      <c r="C26" s="109">
        <f>C27</f>
        <v>0</v>
      </c>
      <c r="D26" s="109">
        <f t="shared" ref="D26:E26" si="8">D27</f>
        <v>0</v>
      </c>
      <c r="E26" s="109">
        <f t="shared" si="8"/>
        <v>98904.93</v>
      </c>
      <c r="F26" s="105" t="e">
        <f t="shared" si="2"/>
        <v>#DIV/0!</v>
      </c>
      <c r="G26" s="105">
        <f t="shared" si="3"/>
        <v>6.504256273265821E-2</v>
      </c>
    </row>
    <row r="27" spans="1:7">
      <c r="A27" s="107" t="s">
        <v>480</v>
      </c>
      <c r="B27" s="108" t="s">
        <v>482</v>
      </c>
      <c r="C27" s="109">
        <v>0</v>
      </c>
      <c r="D27" s="109">
        <v>0</v>
      </c>
      <c r="E27" s="109">
        <v>98904.93</v>
      </c>
      <c r="F27" s="105" t="e">
        <f t="shared" si="2"/>
        <v>#DIV/0!</v>
      </c>
      <c r="G27" s="105">
        <f t="shared" si="3"/>
        <v>6.504256273265821E-2</v>
      </c>
    </row>
    <row r="28" spans="1:7" ht="31.2">
      <c r="A28" s="107" t="s">
        <v>442</v>
      </c>
      <c r="B28" s="108" t="s">
        <v>443</v>
      </c>
      <c r="C28" s="109">
        <f>C29</f>
        <v>632539.53</v>
      </c>
      <c r="D28" s="109">
        <f t="shared" ref="D28:E28" si="9">D29</f>
        <v>632539.53</v>
      </c>
      <c r="E28" s="109">
        <f t="shared" si="9"/>
        <v>533781.85000000009</v>
      </c>
      <c r="F28" s="105">
        <f t="shared" si="2"/>
        <v>84.387113323968862</v>
      </c>
      <c r="G28" s="105">
        <f t="shared" si="3"/>
        <v>0.35102941242847413</v>
      </c>
    </row>
    <row r="29" spans="1:7" ht="46.8">
      <c r="A29" s="107" t="s">
        <v>444</v>
      </c>
      <c r="B29" s="108" t="s">
        <v>445</v>
      </c>
      <c r="C29" s="109">
        <f>624900+4839.53+2800</f>
        <v>632539.53</v>
      </c>
      <c r="D29" s="109">
        <v>632539.53</v>
      </c>
      <c r="E29" s="109">
        <f>419553.53+4839.53+109388.79</f>
        <v>533781.85000000009</v>
      </c>
      <c r="F29" s="105">
        <f t="shared" si="2"/>
        <v>84.387113323968862</v>
      </c>
      <c r="G29" s="105">
        <f t="shared" si="3"/>
        <v>0.35102941242847413</v>
      </c>
    </row>
    <row r="30" spans="1:7" ht="31.2">
      <c r="A30" s="112" t="s">
        <v>446</v>
      </c>
      <c r="B30" s="113" t="s">
        <v>447</v>
      </c>
      <c r="C30" s="109">
        <f>SUM(C31:C32)</f>
        <v>851827.25</v>
      </c>
      <c r="D30" s="109">
        <f t="shared" ref="D30:E30" si="10">SUM(D31:D32)</f>
        <v>851827.25</v>
      </c>
      <c r="E30" s="109">
        <f t="shared" si="10"/>
        <v>268922.86</v>
      </c>
      <c r="F30" s="105">
        <f t="shared" si="2"/>
        <v>31.570117063054742</v>
      </c>
      <c r="G30" s="105">
        <f t="shared" si="3"/>
        <v>0.17685096174473672</v>
      </c>
    </row>
    <row r="31" spans="1:7" ht="46.8">
      <c r="A31" s="112" t="s">
        <v>477</v>
      </c>
      <c r="B31" s="113" t="s">
        <v>478</v>
      </c>
      <c r="C31" s="109">
        <v>0</v>
      </c>
      <c r="D31" s="109">
        <v>0</v>
      </c>
      <c r="E31" s="109">
        <v>24421.87</v>
      </c>
      <c r="F31" s="105" t="e">
        <f t="shared" si="2"/>
        <v>#DIV/0!</v>
      </c>
      <c r="G31" s="105">
        <f t="shared" si="3"/>
        <v>1.6060483653583535E-2</v>
      </c>
    </row>
    <row r="32" spans="1:7" ht="109.2">
      <c r="A32" s="107" t="s">
        <v>448</v>
      </c>
      <c r="B32" s="108" t="s">
        <v>449</v>
      </c>
      <c r="C32" s="109">
        <f>182934.63+30240.09+638652.53</f>
        <v>851827.25</v>
      </c>
      <c r="D32" s="109">
        <v>851827.25</v>
      </c>
      <c r="E32" s="109">
        <v>244500.99</v>
      </c>
      <c r="F32" s="105">
        <f t="shared" si="2"/>
        <v>28.703119088993688</v>
      </c>
      <c r="G32" s="105">
        <f t="shared" si="3"/>
        <v>0.16079047809115318</v>
      </c>
    </row>
    <row r="33" spans="1:7">
      <c r="A33" s="107" t="s">
        <v>450</v>
      </c>
      <c r="B33" s="108" t="s">
        <v>451</v>
      </c>
      <c r="C33" s="109">
        <f>C34</f>
        <v>1427141.86</v>
      </c>
      <c r="D33" s="109">
        <f t="shared" ref="D33:E33" si="11">D34</f>
        <v>1427141.86</v>
      </c>
      <c r="E33" s="109">
        <f t="shared" si="11"/>
        <v>1466243.67</v>
      </c>
      <c r="F33" s="105">
        <f t="shared" si="2"/>
        <v>102.73986848090911</v>
      </c>
      <c r="G33" s="105">
        <f t="shared" si="3"/>
        <v>0.96424157913400277</v>
      </c>
    </row>
    <row r="34" spans="1:7">
      <c r="A34" s="107" t="s">
        <v>452</v>
      </c>
      <c r="B34" s="108" t="s">
        <v>453</v>
      </c>
      <c r="C34" s="109">
        <f>1084410.6+342731.26</f>
        <v>1427141.86</v>
      </c>
      <c r="D34" s="109">
        <v>1427141.86</v>
      </c>
      <c r="E34" s="109">
        <v>1466243.67</v>
      </c>
      <c r="F34" s="105">
        <f t="shared" si="2"/>
        <v>102.73986848090911</v>
      </c>
      <c r="G34" s="105">
        <f t="shared" si="3"/>
        <v>0.96424157913400277</v>
      </c>
    </row>
    <row r="35" spans="1:7">
      <c r="A35" s="107" t="s">
        <v>454</v>
      </c>
      <c r="B35" s="108" t="s">
        <v>455</v>
      </c>
      <c r="C35" s="109">
        <f>C36</f>
        <v>8514935.7899999991</v>
      </c>
      <c r="D35" s="109">
        <f t="shared" ref="D35:E35" si="12">D36</f>
        <v>8514935.7899999991</v>
      </c>
      <c r="E35" s="109">
        <f t="shared" si="12"/>
        <v>8707880.9400000013</v>
      </c>
      <c r="F35" s="105">
        <f t="shared" si="2"/>
        <v>102.2659613032737</v>
      </c>
      <c r="G35" s="105">
        <f t="shared" si="3"/>
        <v>5.7265385285492734</v>
      </c>
    </row>
    <row r="36" spans="1:7" ht="46.8">
      <c r="A36" s="107" t="s">
        <v>456</v>
      </c>
      <c r="B36" s="108" t="s">
        <v>457</v>
      </c>
      <c r="C36" s="109">
        <f>SUM(C37:C40)</f>
        <v>8514935.7899999991</v>
      </c>
      <c r="D36" s="109">
        <f t="shared" ref="D36:E36" si="13">SUM(D37:D40)</f>
        <v>8514935.7899999991</v>
      </c>
      <c r="E36" s="109">
        <f t="shared" si="13"/>
        <v>8707880.9400000013</v>
      </c>
      <c r="F36" s="105">
        <f t="shared" si="2"/>
        <v>102.2659613032737</v>
      </c>
      <c r="G36" s="105">
        <f t="shared" si="3"/>
        <v>5.7265385285492734</v>
      </c>
    </row>
    <row r="37" spans="1:7" ht="31.2" hidden="1">
      <c r="A37" s="107" t="s">
        <v>458</v>
      </c>
      <c r="B37" s="108" t="s">
        <v>459</v>
      </c>
      <c r="C37" s="109"/>
      <c r="D37" s="109"/>
      <c r="E37" s="109"/>
      <c r="F37" s="105" t="e">
        <f t="shared" si="2"/>
        <v>#DIV/0!</v>
      </c>
      <c r="G37" s="105">
        <f t="shared" si="3"/>
        <v>0</v>
      </c>
    </row>
    <row r="38" spans="1:7" ht="46.8">
      <c r="A38" s="107" t="s">
        <v>460</v>
      </c>
      <c r="B38" s="108" t="s">
        <v>461</v>
      </c>
      <c r="C38" s="109">
        <f>6000+1687056.33-4500</f>
        <v>1688556.33</v>
      </c>
      <c r="D38" s="109">
        <v>1688556.33</v>
      </c>
      <c r="E38" s="109">
        <v>1331649.79</v>
      </c>
      <c r="F38" s="105">
        <f t="shared" si="2"/>
        <v>78.86321387927876</v>
      </c>
      <c r="G38" s="105">
        <f t="shared" si="3"/>
        <v>0.87572899555164885</v>
      </c>
    </row>
    <row r="39" spans="1:7" ht="31.2">
      <c r="A39" s="107" t="s">
        <v>462</v>
      </c>
      <c r="B39" s="108" t="s">
        <v>463</v>
      </c>
      <c r="C39" s="109">
        <f>520267+13369</f>
        <v>533636</v>
      </c>
      <c r="D39" s="109">
        <f>487150+46486</f>
        <v>533636</v>
      </c>
      <c r="E39" s="109">
        <f>46486+487150</f>
        <v>533636</v>
      </c>
      <c r="F39" s="105">
        <f t="shared" si="2"/>
        <v>100</v>
      </c>
      <c r="G39" s="105">
        <f t="shared" si="3"/>
        <v>0.35093349751528868</v>
      </c>
    </row>
    <row r="40" spans="1:7">
      <c r="A40" s="107" t="s">
        <v>464</v>
      </c>
      <c r="B40" s="108" t="s">
        <v>465</v>
      </c>
      <c r="C40" s="109">
        <f>1228243.46+5000000+60000+4500</f>
        <v>6292743.46</v>
      </c>
      <c r="D40" s="109">
        <f>C40</f>
        <v>6292743.46</v>
      </c>
      <c r="E40" s="109">
        <f>5000000+1842595.15</f>
        <v>6842595.1500000004</v>
      </c>
      <c r="F40" s="105">
        <f t="shared" si="2"/>
        <v>108.73786915826378</v>
      </c>
      <c r="G40" s="105">
        <f t="shared" si="3"/>
        <v>4.4998760354823357</v>
      </c>
    </row>
    <row r="41" spans="1:7" hidden="1">
      <c r="A41" s="107" t="s">
        <v>466</v>
      </c>
      <c r="B41" s="108" t="s">
        <v>467</v>
      </c>
      <c r="C41" s="109"/>
      <c r="D41" s="109"/>
      <c r="E41" s="109"/>
      <c r="F41" s="105" t="e">
        <f t="shared" si="2"/>
        <v>#DIV/0!</v>
      </c>
      <c r="G41" s="105">
        <f t="shared" si="3"/>
        <v>0</v>
      </c>
    </row>
    <row r="42" spans="1:7">
      <c r="A42" s="114"/>
      <c r="B42" s="115" t="s">
        <v>468</v>
      </c>
      <c r="C42" s="116">
        <f>C12+C35</f>
        <v>142550573.36000001</v>
      </c>
      <c r="D42" s="116">
        <f>D12+D35</f>
        <v>142550573.36000001</v>
      </c>
      <c r="E42" s="116">
        <f>E12+E35</f>
        <v>152061858.94999999</v>
      </c>
      <c r="F42" s="105">
        <f t="shared" si="2"/>
        <v>106.67221840348546</v>
      </c>
      <c r="G42" s="105">
        <f t="shared" si="3"/>
        <v>100</v>
      </c>
    </row>
  </sheetData>
  <sheetProtection formatCells="0" formatColumns="0" formatRows="0" deleteColumns="0" deleteRows="0"/>
  <mergeCells count="7">
    <mergeCell ref="C5:E5"/>
    <mergeCell ref="C6:E6"/>
    <mergeCell ref="A8:E8"/>
    <mergeCell ref="C1:E1"/>
    <mergeCell ref="C2:E2"/>
    <mergeCell ref="C3:E3"/>
    <mergeCell ref="C4:E4"/>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8080"/>
  </sheetPr>
  <dimension ref="A1:F33"/>
  <sheetViews>
    <sheetView view="pageBreakPreview" zoomScaleNormal="100" zoomScaleSheetLayoutView="100" workbookViewId="0">
      <selection activeCell="D2" sqref="D2:F2"/>
    </sheetView>
  </sheetViews>
  <sheetFormatPr defaultRowHeight="13.8"/>
  <cols>
    <col min="1" max="1" width="63.44140625" style="222" customWidth="1"/>
    <col min="2" max="2" width="16.5546875" style="222" customWidth="1"/>
    <col min="3" max="3" width="25.44140625" style="222" customWidth="1"/>
    <col min="4" max="4" width="18.44140625" style="222" customWidth="1"/>
    <col min="5" max="5" width="19.88671875" style="222" customWidth="1"/>
    <col min="6" max="6" width="18.5546875" style="222" customWidth="1"/>
    <col min="7" max="256" width="9.109375" style="222"/>
    <col min="257" max="257" width="96" style="222" customWidth="1"/>
    <col min="258" max="258" width="18.88671875" style="222" customWidth="1"/>
    <col min="259" max="259" width="25.44140625" style="222" customWidth="1"/>
    <col min="260" max="260" width="12.33203125" style="222" customWidth="1"/>
    <col min="261" max="512" width="9.109375" style="222"/>
    <col min="513" max="513" width="96" style="222" customWidth="1"/>
    <col min="514" max="514" width="18.88671875" style="222" customWidth="1"/>
    <col min="515" max="515" width="25.44140625" style="222" customWidth="1"/>
    <col min="516" max="516" width="12.33203125" style="222" customWidth="1"/>
    <col min="517" max="768" width="9.109375" style="222"/>
    <col min="769" max="769" width="96" style="222" customWidth="1"/>
    <col min="770" max="770" width="18.88671875" style="222" customWidth="1"/>
    <col min="771" max="771" width="25.44140625" style="222" customWidth="1"/>
    <col min="772" max="772" width="12.33203125" style="222" customWidth="1"/>
    <col min="773" max="1024" width="9.109375" style="222"/>
    <col min="1025" max="1025" width="96" style="222" customWidth="1"/>
    <col min="1026" max="1026" width="18.88671875" style="222" customWidth="1"/>
    <col min="1027" max="1027" width="25.44140625" style="222" customWidth="1"/>
    <col min="1028" max="1028" width="12.33203125" style="222" customWidth="1"/>
    <col min="1029" max="1280" width="9.109375" style="222"/>
    <col min="1281" max="1281" width="96" style="222" customWidth="1"/>
    <col min="1282" max="1282" width="18.88671875" style="222" customWidth="1"/>
    <col min="1283" max="1283" width="25.44140625" style="222" customWidth="1"/>
    <col min="1284" max="1284" width="12.33203125" style="222" customWidth="1"/>
    <col min="1285" max="1536" width="9.109375" style="222"/>
    <col min="1537" max="1537" width="96" style="222" customWidth="1"/>
    <col min="1538" max="1538" width="18.88671875" style="222" customWidth="1"/>
    <col min="1539" max="1539" width="25.44140625" style="222" customWidth="1"/>
    <col min="1540" max="1540" width="12.33203125" style="222" customWidth="1"/>
    <col min="1541" max="1792" width="9.109375" style="222"/>
    <col min="1793" max="1793" width="96" style="222" customWidth="1"/>
    <col min="1794" max="1794" width="18.88671875" style="222" customWidth="1"/>
    <col min="1795" max="1795" width="25.44140625" style="222" customWidth="1"/>
    <col min="1796" max="1796" width="12.33203125" style="222" customWidth="1"/>
    <col min="1797" max="2048" width="9.109375" style="222"/>
    <col min="2049" max="2049" width="96" style="222" customWidth="1"/>
    <col min="2050" max="2050" width="18.88671875" style="222" customWidth="1"/>
    <col min="2051" max="2051" width="25.44140625" style="222" customWidth="1"/>
    <col min="2052" max="2052" width="12.33203125" style="222" customWidth="1"/>
    <col min="2053" max="2304" width="9.109375" style="222"/>
    <col min="2305" max="2305" width="96" style="222" customWidth="1"/>
    <col min="2306" max="2306" width="18.88671875" style="222" customWidth="1"/>
    <col min="2307" max="2307" width="25.44140625" style="222" customWidth="1"/>
    <col min="2308" max="2308" width="12.33203125" style="222" customWidth="1"/>
    <col min="2309" max="2560" width="9.109375" style="222"/>
    <col min="2561" max="2561" width="96" style="222" customWidth="1"/>
    <col min="2562" max="2562" width="18.88671875" style="222" customWidth="1"/>
    <col min="2563" max="2563" width="25.44140625" style="222" customWidth="1"/>
    <col min="2564" max="2564" width="12.33203125" style="222" customWidth="1"/>
    <col min="2565" max="2816" width="9.109375" style="222"/>
    <col min="2817" max="2817" width="96" style="222" customWidth="1"/>
    <col min="2818" max="2818" width="18.88671875" style="222" customWidth="1"/>
    <col min="2819" max="2819" width="25.44140625" style="222" customWidth="1"/>
    <col min="2820" max="2820" width="12.33203125" style="222" customWidth="1"/>
    <col min="2821" max="3072" width="9.109375" style="222"/>
    <col min="3073" max="3073" width="96" style="222" customWidth="1"/>
    <col min="3074" max="3074" width="18.88671875" style="222" customWidth="1"/>
    <col min="3075" max="3075" width="25.44140625" style="222" customWidth="1"/>
    <col min="3076" max="3076" width="12.33203125" style="222" customWidth="1"/>
    <col min="3077" max="3328" width="9.109375" style="222"/>
    <col min="3329" max="3329" width="96" style="222" customWidth="1"/>
    <col min="3330" max="3330" width="18.88671875" style="222" customWidth="1"/>
    <col min="3331" max="3331" width="25.44140625" style="222" customWidth="1"/>
    <col min="3332" max="3332" width="12.33203125" style="222" customWidth="1"/>
    <col min="3333" max="3584" width="9.109375" style="222"/>
    <col min="3585" max="3585" width="96" style="222" customWidth="1"/>
    <col min="3586" max="3586" width="18.88671875" style="222" customWidth="1"/>
    <col min="3587" max="3587" width="25.44140625" style="222" customWidth="1"/>
    <col min="3588" max="3588" width="12.33203125" style="222" customWidth="1"/>
    <col min="3589" max="3840" width="9.109375" style="222"/>
    <col min="3841" max="3841" width="96" style="222" customWidth="1"/>
    <col min="3842" max="3842" width="18.88671875" style="222" customWidth="1"/>
    <col min="3843" max="3843" width="25.44140625" style="222" customWidth="1"/>
    <col min="3844" max="3844" width="12.33203125" style="222" customWidth="1"/>
    <col min="3845" max="4096" width="9.109375" style="222"/>
    <col min="4097" max="4097" width="96" style="222" customWidth="1"/>
    <col min="4098" max="4098" width="18.88671875" style="222" customWidth="1"/>
    <col min="4099" max="4099" width="25.44140625" style="222" customWidth="1"/>
    <col min="4100" max="4100" width="12.33203125" style="222" customWidth="1"/>
    <col min="4101" max="4352" width="9.109375" style="222"/>
    <col min="4353" max="4353" width="96" style="222" customWidth="1"/>
    <col min="4354" max="4354" width="18.88671875" style="222" customWidth="1"/>
    <col min="4355" max="4355" width="25.44140625" style="222" customWidth="1"/>
    <col min="4356" max="4356" width="12.33203125" style="222" customWidth="1"/>
    <col min="4357" max="4608" width="9.109375" style="222"/>
    <col min="4609" max="4609" width="96" style="222" customWidth="1"/>
    <col min="4610" max="4610" width="18.88671875" style="222" customWidth="1"/>
    <col min="4611" max="4611" width="25.44140625" style="222" customWidth="1"/>
    <col min="4612" max="4612" width="12.33203125" style="222" customWidth="1"/>
    <col min="4613" max="4864" width="9.109375" style="222"/>
    <col min="4865" max="4865" width="96" style="222" customWidth="1"/>
    <col min="4866" max="4866" width="18.88671875" style="222" customWidth="1"/>
    <col min="4867" max="4867" width="25.44140625" style="222" customWidth="1"/>
    <col min="4868" max="4868" width="12.33203125" style="222" customWidth="1"/>
    <col min="4869" max="5120" width="9.109375" style="222"/>
    <col min="5121" max="5121" width="96" style="222" customWidth="1"/>
    <col min="5122" max="5122" width="18.88671875" style="222" customWidth="1"/>
    <col min="5123" max="5123" width="25.44140625" style="222" customWidth="1"/>
    <col min="5124" max="5124" width="12.33203125" style="222" customWidth="1"/>
    <col min="5125" max="5376" width="9.109375" style="222"/>
    <col min="5377" max="5377" width="96" style="222" customWidth="1"/>
    <col min="5378" max="5378" width="18.88671875" style="222" customWidth="1"/>
    <col min="5379" max="5379" width="25.44140625" style="222" customWidth="1"/>
    <col min="5380" max="5380" width="12.33203125" style="222" customWidth="1"/>
    <col min="5381" max="5632" width="9.109375" style="222"/>
    <col min="5633" max="5633" width="96" style="222" customWidth="1"/>
    <col min="5634" max="5634" width="18.88671875" style="222" customWidth="1"/>
    <col min="5635" max="5635" width="25.44140625" style="222" customWidth="1"/>
    <col min="5636" max="5636" width="12.33203125" style="222" customWidth="1"/>
    <col min="5637" max="5888" width="9.109375" style="222"/>
    <col min="5889" max="5889" width="96" style="222" customWidth="1"/>
    <col min="5890" max="5890" width="18.88671875" style="222" customWidth="1"/>
    <col min="5891" max="5891" width="25.44140625" style="222" customWidth="1"/>
    <col min="5892" max="5892" width="12.33203125" style="222" customWidth="1"/>
    <col min="5893" max="6144" width="9.109375" style="222"/>
    <col min="6145" max="6145" width="96" style="222" customWidth="1"/>
    <col min="6146" max="6146" width="18.88671875" style="222" customWidth="1"/>
    <col min="6147" max="6147" width="25.44140625" style="222" customWidth="1"/>
    <col min="6148" max="6148" width="12.33203125" style="222" customWidth="1"/>
    <col min="6149" max="6400" width="9.109375" style="222"/>
    <col min="6401" max="6401" width="96" style="222" customWidth="1"/>
    <col min="6402" max="6402" width="18.88671875" style="222" customWidth="1"/>
    <col min="6403" max="6403" width="25.44140625" style="222" customWidth="1"/>
    <col min="6404" max="6404" width="12.33203125" style="222" customWidth="1"/>
    <col min="6405" max="6656" width="9.109375" style="222"/>
    <col min="6657" max="6657" width="96" style="222" customWidth="1"/>
    <col min="6658" max="6658" width="18.88671875" style="222" customWidth="1"/>
    <col min="6659" max="6659" width="25.44140625" style="222" customWidth="1"/>
    <col min="6660" max="6660" width="12.33203125" style="222" customWidth="1"/>
    <col min="6661" max="6912" width="9.109375" style="222"/>
    <col min="6913" max="6913" width="96" style="222" customWidth="1"/>
    <col min="6914" max="6914" width="18.88671875" style="222" customWidth="1"/>
    <col min="6915" max="6915" width="25.44140625" style="222" customWidth="1"/>
    <col min="6916" max="6916" width="12.33203125" style="222" customWidth="1"/>
    <col min="6917" max="7168" width="9.109375" style="222"/>
    <col min="7169" max="7169" width="96" style="222" customWidth="1"/>
    <col min="7170" max="7170" width="18.88671875" style="222" customWidth="1"/>
    <col min="7171" max="7171" width="25.44140625" style="222" customWidth="1"/>
    <col min="7172" max="7172" width="12.33203125" style="222" customWidth="1"/>
    <col min="7173" max="7424" width="9.109375" style="222"/>
    <col min="7425" max="7425" width="96" style="222" customWidth="1"/>
    <col min="7426" max="7426" width="18.88671875" style="222" customWidth="1"/>
    <col min="7427" max="7427" width="25.44140625" style="222" customWidth="1"/>
    <col min="7428" max="7428" width="12.33203125" style="222" customWidth="1"/>
    <col min="7429" max="7680" width="9.109375" style="222"/>
    <col min="7681" max="7681" width="96" style="222" customWidth="1"/>
    <col min="7682" max="7682" width="18.88671875" style="222" customWidth="1"/>
    <col min="7683" max="7683" width="25.44140625" style="222" customWidth="1"/>
    <col min="7684" max="7684" width="12.33203125" style="222" customWidth="1"/>
    <col min="7685" max="7936" width="9.109375" style="222"/>
    <col min="7937" max="7937" width="96" style="222" customWidth="1"/>
    <col min="7938" max="7938" width="18.88671875" style="222" customWidth="1"/>
    <col min="7939" max="7939" width="25.44140625" style="222" customWidth="1"/>
    <col min="7940" max="7940" width="12.33203125" style="222" customWidth="1"/>
    <col min="7941" max="8192" width="9.109375" style="222"/>
    <col min="8193" max="8193" width="96" style="222" customWidth="1"/>
    <col min="8194" max="8194" width="18.88671875" style="222" customWidth="1"/>
    <col min="8195" max="8195" width="25.44140625" style="222" customWidth="1"/>
    <col min="8196" max="8196" width="12.33203125" style="222" customWidth="1"/>
    <col min="8197" max="8448" width="9.109375" style="222"/>
    <col min="8449" max="8449" width="96" style="222" customWidth="1"/>
    <col min="8450" max="8450" width="18.88671875" style="222" customWidth="1"/>
    <col min="8451" max="8451" width="25.44140625" style="222" customWidth="1"/>
    <col min="8452" max="8452" width="12.33203125" style="222" customWidth="1"/>
    <col min="8453" max="8704" width="9.109375" style="222"/>
    <col min="8705" max="8705" width="96" style="222" customWidth="1"/>
    <col min="8706" max="8706" width="18.88671875" style="222" customWidth="1"/>
    <col min="8707" max="8707" width="25.44140625" style="222" customWidth="1"/>
    <col min="8708" max="8708" width="12.33203125" style="222" customWidth="1"/>
    <col min="8709" max="8960" width="9.109375" style="222"/>
    <col min="8961" max="8961" width="96" style="222" customWidth="1"/>
    <col min="8962" max="8962" width="18.88671875" style="222" customWidth="1"/>
    <col min="8963" max="8963" width="25.44140625" style="222" customWidth="1"/>
    <col min="8964" max="8964" width="12.33203125" style="222" customWidth="1"/>
    <col min="8965" max="9216" width="9.109375" style="222"/>
    <col min="9217" max="9217" width="96" style="222" customWidth="1"/>
    <col min="9218" max="9218" width="18.88671875" style="222" customWidth="1"/>
    <col min="9219" max="9219" width="25.44140625" style="222" customWidth="1"/>
    <col min="9220" max="9220" width="12.33203125" style="222" customWidth="1"/>
    <col min="9221" max="9472" width="9.109375" style="222"/>
    <col min="9473" max="9473" width="96" style="222" customWidth="1"/>
    <col min="9474" max="9474" width="18.88671875" style="222" customWidth="1"/>
    <col min="9475" max="9475" width="25.44140625" style="222" customWidth="1"/>
    <col min="9476" max="9476" width="12.33203125" style="222" customWidth="1"/>
    <col min="9477" max="9728" width="9.109375" style="222"/>
    <col min="9729" max="9729" width="96" style="222" customWidth="1"/>
    <col min="9730" max="9730" width="18.88671875" style="222" customWidth="1"/>
    <col min="9731" max="9731" width="25.44140625" style="222" customWidth="1"/>
    <col min="9732" max="9732" width="12.33203125" style="222" customWidth="1"/>
    <col min="9733" max="9984" width="9.109375" style="222"/>
    <col min="9985" max="9985" width="96" style="222" customWidth="1"/>
    <col min="9986" max="9986" width="18.88671875" style="222" customWidth="1"/>
    <col min="9987" max="9987" width="25.44140625" style="222" customWidth="1"/>
    <col min="9988" max="9988" width="12.33203125" style="222" customWidth="1"/>
    <col min="9989" max="10240" width="9.109375" style="222"/>
    <col min="10241" max="10241" width="96" style="222" customWidth="1"/>
    <col min="10242" max="10242" width="18.88671875" style="222" customWidth="1"/>
    <col min="10243" max="10243" width="25.44140625" style="222" customWidth="1"/>
    <col min="10244" max="10244" width="12.33203125" style="222" customWidth="1"/>
    <col min="10245" max="10496" width="9.109375" style="222"/>
    <col min="10497" max="10497" width="96" style="222" customWidth="1"/>
    <col min="10498" max="10498" width="18.88671875" style="222" customWidth="1"/>
    <col min="10499" max="10499" width="25.44140625" style="222" customWidth="1"/>
    <col min="10500" max="10500" width="12.33203125" style="222" customWidth="1"/>
    <col min="10501" max="10752" width="9.109375" style="222"/>
    <col min="10753" max="10753" width="96" style="222" customWidth="1"/>
    <col min="10754" max="10754" width="18.88671875" style="222" customWidth="1"/>
    <col min="10755" max="10755" width="25.44140625" style="222" customWidth="1"/>
    <col min="10756" max="10756" width="12.33203125" style="222" customWidth="1"/>
    <col min="10757" max="11008" width="9.109375" style="222"/>
    <col min="11009" max="11009" width="96" style="222" customWidth="1"/>
    <col min="11010" max="11010" width="18.88671875" style="222" customWidth="1"/>
    <col min="11011" max="11011" width="25.44140625" style="222" customWidth="1"/>
    <col min="11012" max="11012" width="12.33203125" style="222" customWidth="1"/>
    <col min="11013" max="11264" width="9.109375" style="222"/>
    <col min="11265" max="11265" width="96" style="222" customWidth="1"/>
    <col min="11266" max="11266" width="18.88671875" style="222" customWidth="1"/>
    <col min="11267" max="11267" width="25.44140625" style="222" customWidth="1"/>
    <col min="11268" max="11268" width="12.33203125" style="222" customWidth="1"/>
    <col min="11269" max="11520" width="9.109375" style="222"/>
    <col min="11521" max="11521" width="96" style="222" customWidth="1"/>
    <col min="11522" max="11522" width="18.88671875" style="222" customWidth="1"/>
    <col min="11523" max="11523" width="25.44140625" style="222" customWidth="1"/>
    <col min="11524" max="11524" width="12.33203125" style="222" customWidth="1"/>
    <col min="11525" max="11776" width="9.109375" style="222"/>
    <col min="11777" max="11777" width="96" style="222" customWidth="1"/>
    <col min="11778" max="11778" width="18.88671875" style="222" customWidth="1"/>
    <col min="11779" max="11779" width="25.44140625" style="222" customWidth="1"/>
    <col min="11780" max="11780" width="12.33203125" style="222" customWidth="1"/>
    <col min="11781" max="12032" width="9.109375" style="222"/>
    <col min="12033" max="12033" width="96" style="222" customWidth="1"/>
    <col min="12034" max="12034" width="18.88671875" style="222" customWidth="1"/>
    <col min="12035" max="12035" width="25.44140625" style="222" customWidth="1"/>
    <col min="12036" max="12036" width="12.33203125" style="222" customWidth="1"/>
    <col min="12037" max="12288" width="9.109375" style="222"/>
    <col min="12289" max="12289" width="96" style="222" customWidth="1"/>
    <col min="12290" max="12290" width="18.88671875" style="222" customWidth="1"/>
    <col min="12291" max="12291" width="25.44140625" style="222" customWidth="1"/>
    <col min="12292" max="12292" width="12.33203125" style="222" customWidth="1"/>
    <col min="12293" max="12544" width="9.109375" style="222"/>
    <col min="12545" max="12545" width="96" style="222" customWidth="1"/>
    <col min="12546" max="12546" width="18.88671875" style="222" customWidth="1"/>
    <col min="12547" max="12547" width="25.44140625" style="222" customWidth="1"/>
    <col min="12548" max="12548" width="12.33203125" style="222" customWidth="1"/>
    <col min="12549" max="12800" width="9.109375" style="222"/>
    <col min="12801" max="12801" width="96" style="222" customWidth="1"/>
    <col min="12802" max="12802" width="18.88671875" style="222" customWidth="1"/>
    <col min="12803" max="12803" width="25.44140625" style="222" customWidth="1"/>
    <col min="12804" max="12804" width="12.33203125" style="222" customWidth="1"/>
    <col min="12805" max="13056" width="9.109375" style="222"/>
    <col min="13057" max="13057" width="96" style="222" customWidth="1"/>
    <col min="13058" max="13058" width="18.88671875" style="222" customWidth="1"/>
    <col min="13059" max="13059" width="25.44140625" style="222" customWidth="1"/>
    <col min="13060" max="13060" width="12.33203125" style="222" customWidth="1"/>
    <col min="13061" max="13312" width="9.109375" style="222"/>
    <col min="13313" max="13313" width="96" style="222" customWidth="1"/>
    <col min="13314" max="13314" width="18.88671875" style="222" customWidth="1"/>
    <col min="13315" max="13315" width="25.44140625" style="222" customWidth="1"/>
    <col min="13316" max="13316" width="12.33203125" style="222" customWidth="1"/>
    <col min="13317" max="13568" width="9.109375" style="222"/>
    <col min="13569" max="13569" width="96" style="222" customWidth="1"/>
    <col min="13570" max="13570" width="18.88671875" style="222" customWidth="1"/>
    <col min="13571" max="13571" width="25.44140625" style="222" customWidth="1"/>
    <col min="13572" max="13572" width="12.33203125" style="222" customWidth="1"/>
    <col min="13573" max="13824" width="9.109375" style="222"/>
    <col min="13825" max="13825" width="96" style="222" customWidth="1"/>
    <col min="13826" max="13826" width="18.88671875" style="222" customWidth="1"/>
    <col min="13827" max="13827" width="25.44140625" style="222" customWidth="1"/>
    <col min="13828" max="13828" width="12.33203125" style="222" customWidth="1"/>
    <col min="13829" max="14080" width="9.109375" style="222"/>
    <col min="14081" max="14081" width="96" style="222" customWidth="1"/>
    <col min="14082" max="14082" width="18.88671875" style="222" customWidth="1"/>
    <col min="14083" max="14083" width="25.44140625" style="222" customWidth="1"/>
    <col min="14084" max="14084" width="12.33203125" style="222" customWidth="1"/>
    <col min="14085" max="14336" width="9.109375" style="222"/>
    <col min="14337" max="14337" width="96" style="222" customWidth="1"/>
    <col min="14338" max="14338" width="18.88671875" style="222" customWidth="1"/>
    <col min="14339" max="14339" width="25.44140625" style="222" customWidth="1"/>
    <col min="14340" max="14340" width="12.33203125" style="222" customWidth="1"/>
    <col min="14341" max="14592" width="9.109375" style="222"/>
    <col min="14593" max="14593" width="96" style="222" customWidth="1"/>
    <col min="14594" max="14594" width="18.88671875" style="222" customWidth="1"/>
    <col min="14595" max="14595" width="25.44140625" style="222" customWidth="1"/>
    <col min="14596" max="14596" width="12.33203125" style="222" customWidth="1"/>
    <col min="14597" max="14848" width="9.109375" style="222"/>
    <col min="14849" max="14849" width="96" style="222" customWidth="1"/>
    <col min="14850" max="14850" width="18.88671875" style="222" customWidth="1"/>
    <col min="14851" max="14851" width="25.44140625" style="222" customWidth="1"/>
    <col min="14852" max="14852" width="12.33203125" style="222" customWidth="1"/>
    <col min="14853" max="15104" width="9.109375" style="222"/>
    <col min="15105" max="15105" width="96" style="222" customWidth="1"/>
    <col min="15106" max="15106" width="18.88671875" style="222" customWidth="1"/>
    <col min="15107" max="15107" width="25.44140625" style="222" customWidth="1"/>
    <col min="15108" max="15108" width="12.33203125" style="222" customWidth="1"/>
    <col min="15109" max="15360" width="9.109375" style="222"/>
    <col min="15361" max="15361" width="96" style="222" customWidth="1"/>
    <col min="15362" max="15362" width="18.88671875" style="222" customWidth="1"/>
    <col min="15363" max="15363" width="25.44140625" style="222" customWidth="1"/>
    <col min="15364" max="15364" width="12.33203125" style="222" customWidth="1"/>
    <col min="15365" max="15616" width="9.109375" style="222"/>
    <col min="15617" max="15617" width="96" style="222" customWidth="1"/>
    <col min="15618" max="15618" width="18.88671875" style="222" customWidth="1"/>
    <col min="15619" max="15619" width="25.44140625" style="222" customWidth="1"/>
    <col min="15620" max="15620" width="12.33203125" style="222" customWidth="1"/>
    <col min="15621" max="15872" width="9.109375" style="222"/>
    <col min="15873" max="15873" width="96" style="222" customWidth="1"/>
    <col min="15874" max="15874" width="18.88671875" style="222" customWidth="1"/>
    <col min="15875" max="15875" width="25.44140625" style="222" customWidth="1"/>
    <col min="15876" max="15876" width="12.33203125" style="222" customWidth="1"/>
    <col min="15877" max="16128" width="9.109375" style="222"/>
    <col min="16129" max="16129" width="96" style="222" customWidth="1"/>
    <col min="16130" max="16130" width="18.88671875" style="222" customWidth="1"/>
    <col min="16131" max="16131" width="25.44140625" style="222" customWidth="1"/>
    <col min="16132" max="16132" width="12.33203125" style="222" customWidth="1"/>
    <col min="16133" max="16384" width="9.109375" style="222"/>
  </cols>
  <sheetData>
    <row r="1" spans="1:6" s="232" customFormat="1" ht="15.6">
      <c r="D1" s="275" t="s">
        <v>664</v>
      </c>
      <c r="E1" s="275"/>
      <c r="F1" s="275"/>
    </row>
    <row r="2" spans="1:6" s="232" customFormat="1" ht="15.6">
      <c r="D2" s="275" t="s">
        <v>3</v>
      </c>
      <c r="E2" s="275"/>
      <c r="F2" s="275"/>
    </row>
    <row r="3" spans="1:6" s="232" customFormat="1" ht="15.6">
      <c r="D3" s="275" t="s">
        <v>486</v>
      </c>
      <c r="E3" s="275"/>
      <c r="F3" s="275"/>
    </row>
    <row r="4" spans="1:6" s="232" customFormat="1" ht="15.6">
      <c r="D4" s="275" t="s">
        <v>487</v>
      </c>
      <c r="E4" s="275"/>
      <c r="F4" s="275"/>
    </row>
    <row r="5" spans="1:6" s="232" customFormat="1" ht="15.6">
      <c r="A5" s="233"/>
      <c r="B5" s="233"/>
      <c r="C5" s="233"/>
      <c r="D5" s="275" t="s">
        <v>488</v>
      </c>
      <c r="E5" s="275"/>
      <c r="F5" s="275"/>
    </row>
    <row r="6" spans="1:6" s="232" customFormat="1" ht="15.6">
      <c r="A6" s="233"/>
      <c r="B6" s="233"/>
      <c r="C6" s="233"/>
      <c r="D6" s="276" t="s">
        <v>489</v>
      </c>
      <c r="E6" s="276"/>
      <c r="F6" s="276"/>
    </row>
    <row r="7" spans="1:6" s="232" customFormat="1" ht="15.6">
      <c r="A7" s="233"/>
      <c r="B7" s="233"/>
      <c r="C7" s="233"/>
      <c r="D7" s="224"/>
    </row>
    <row r="8" spans="1:6" s="232" customFormat="1" ht="78.75" customHeight="1">
      <c r="A8" s="278" t="s">
        <v>663</v>
      </c>
      <c r="B8" s="278"/>
      <c r="C8" s="278"/>
      <c r="D8" s="278"/>
      <c r="E8" s="278"/>
      <c r="F8" s="278"/>
    </row>
    <row r="9" spans="1:6" s="232" customFormat="1" ht="15.6"/>
    <row r="10" spans="1:6" ht="15.6">
      <c r="A10" s="223"/>
      <c r="B10" s="223"/>
      <c r="C10" s="223"/>
      <c r="D10" s="224"/>
      <c r="F10" s="236" t="s">
        <v>2</v>
      </c>
    </row>
    <row r="11" spans="1:6" ht="159.75" customHeight="1">
      <c r="A11" s="277" t="s">
        <v>642</v>
      </c>
      <c r="B11" s="277" t="s">
        <v>643</v>
      </c>
      <c r="C11" s="277"/>
      <c r="D11" s="253" t="s">
        <v>491</v>
      </c>
      <c r="E11" s="253" t="s">
        <v>490</v>
      </c>
      <c r="F11" s="253" t="s">
        <v>492</v>
      </c>
    </row>
    <row r="12" spans="1:6" ht="51.75" customHeight="1">
      <c r="A12" s="277"/>
      <c r="B12" s="225" t="s">
        <v>644</v>
      </c>
      <c r="C12" s="225" t="s">
        <v>645</v>
      </c>
      <c r="D12" s="254"/>
      <c r="E12" s="254"/>
      <c r="F12" s="254"/>
    </row>
    <row r="13" spans="1:6" ht="31.2">
      <c r="A13" s="226" t="s">
        <v>646</v>
      </c>
      <c r="B13" s="226"/>
      <c r="C13" s="226"/>
      <c r="D13" s="237">
        <f>D20</f>
        <v>47353713.689999998</v>
      </c>
      <c r="E13" s="237">
        <f t="shared" ref="E13:F13" si="0">E20</f>
        <v>47922222.379999995</v>
      </c>
      <c r="F13" s="237">
        <f t="shared" si="0"/>
        <v>-17826772.149999976</v>
      </c>
    </row>
    <row r="14" spans="1:6" ht="31.2" hidden="1">
      <c r="A14" s="227" t="s">
        <v>647</v>
      </c>
      <c r="B14" s="227"/>
      <c r="C14" s="227"/>
      <c r="D14" s="238">
        <f>SUM(D15-D17)</f>
        <v>0</v>
      </c>
      <c r="E14" s="238">
        <f t="shared" ref="E14:F14" si="1">SUM(E15-E17)</f>
        <v>0</v>
      </c>
      <c r="F14" s="238">
        <f t="shared" si="1"/>
        <v>0</v>
      </c>
    </row>
    <row r="15" spans="1:6" ht="31.2" hidden="1">
      <c r="A15" s="228" t="s">
        <v>648</v>
      </c>
      <c r="B15" s="228"/>
      <c r="C15" s="228"/>
      <c r="D15" s="239">
        <f>SUM(D16)</f>
        <v>0</v>
      </c>
      <c r="E15" s="239">
        <f t="shared" ref="E15:F15" si="2">SUM(E16)</f>
        <v>0</v>
      </c>
      <c r="F15" s="239">
        <f t="shared" si="2"/>
        <v>0</v>
      </c>
    </row>
    <row r="16" spans="1:6" ht="31.2" hidden="1">
      <c r="A16" s="228" t="s">
        <v>649</v>
      </c>
      <c r="B16" s="228"/>
      <c r="C16" s="228"/>
      <c r="D16" s="239">
        <v>0</v>
      </c>
      <c r="E16" s="239">
        <v>0</v>
      </c>
      <c r="F16" s="239">
        <v>0</v>
      </c>
    </row>
    <row r="17" spans="1:6" ht="31.2" hidden="1">
      <c r="A17" s="228" t="s">
        <v>650</v>
      </c>
      <c r="B17" s="228"/>
      <c r="C17" s="228"/>
      <c r="D17" s="239">
        <f>SUM(D18)</f>
        <v>0</v>
      </c>
      <c r="E17" s="239">
        <f t="shared" ref="E17:F17" si="3">SUM(E18)</f>
        <v>0</v>
      </c>
      <c r="F17" s="239">
        <f t="shared" si="3"/>
        <v>0</v>
      </c>
    </row>
    <row r="18" spans="1:6" ht="31.2" hidden="1">
      <c r="A18" s="228" t="s">
        <v>651</v>
      </c>
      <c r="B18" s="228"/>
      <c r="C18" s="228"/>
      <c r="D18" s="239"/>
      <c r="E18" s="239"/>
      <c r="F18" s="239"/>
    </row>
    <row r="19" spans="1:6" ht="15.6" hidden="1">
      <c r="A19" s="229" t="s">
        <v>652</v>
      </c>
      <c r="B19" s="228"/>
      <c r="C19" s="228"/>
      <c r="D19" s="239"/>
      <c r="E19" s="239"/>
      <c r="F19" s="239"/>
    </row>
    <row r="20" spans="1:6" ht="15.6">
      <c r="A20" s="230" t="s">
        <v>340</v>
      </c>
      <c r="B20" s="231">
        <v>871</v>
      </c>
      <c r="C20" s="230"/>
      <c r="D20" s="240">
        <f>D21+D25</f>
        <v>47353713.689999998</v>
      </c>
      <c r="E20" s="240">
        <f t="shared" ref="E20:F20" si="4">E21+E25</f>
        <v>47922222.379999995</v>
      </c>
      <c r="F20" s="240">
        <f t="shared" si="4"/>
        <v>-17826772.149999976</v>
      </c>
    </row>
    <row r="21" spans="1:6" ht="15.6">
      <c r="A21" s="230" t="s">
        <v>598</v>
      </c>
      <c r="B21" s="231">
        <v>871</v>
      </c>
      <c r="C21" s="231" t="s">
        <v>653</v>
      </c>
      <c r="D21" s="240">
        <f>D22</f>
        <v>-142550573.36000001</v>
      </c>
      <c r="E21" s="240">
        <f t="shared" ref="E21:F23" si="5">E22</f>
        <v>-142550573.36000001</v>
      </c>
      <c r="F21" s="240">
        <f t="shared" si="5"/>
        <v>-152061858.94999999</v>
      </c>
    </row>
    <row r="22" spans="1:6" ht="15.6">
      <c r="A22" s="230" t="s">
        <v>600</v>
      </c>
      <c r="B22" s="231">
        <v>871</v>
      </c>
      <c r="C22" s="231" t="s">
        <v>654</v>
      </c>
      <c r="D22" s="240">
        <f>D23</f>
        <v>-142550573.36000001</v>
      </c>
      <c r="E22" s="240">
        <f t="shared" si="5"/>
        <v>-142550573.36000001</v>
      </c>
      <c r="F22" s="240">
        <f t="shared" si="5"/>
        <v>-152061858.94999999</v>
      </c>
    </row>
    <row r="23" spans="1:6" ht="15.6">
      <c r="A23" s="230" t="s">
        <v>602</v>
      </c>
      <c r="B23" s="231">
        <v>871</v>
      </c>
      <c r="C23" s="231" t="s">
        <v>655</v>
      </c>
      <c r="D23" s="240">
        <f>D24</f>
        <v>-142550573.36000001</v>
      </c>
      <c r="E23" s="240">
        <f t="shared" si="5"/>
        <v>-142550573.36000001</v>
      </c>
      <c r="F23" s="240">
        <f t="shared" si="5"/>
        <v>-152061858.94999999</v>
      </c>
    </row>
    <row r="24" spans="1:6" ht="31.2">
      <c r="A24" s="230" t="s">
        <v>604</v>
      </c>
      <c r="B24" s="231">
        <v>871</v>
      </c>
      <c r="C24" s="231" t="s">
        <v>656</v>
      </c>
      <c r="D24" s="241">
        <f>-'Прил 1'!C42</f>
        <v>-142550573.36000001</v>
      </c>
      <c r="E24" s="241">
        <f>-'Прил 1'!D42</f>
        <v>-142550573.36000001</v>
      </c>
      <c r="F24" s="241">
        <f>-'Прил 1'!E42</f>
        <v>-152061858.94999999</v>
      </c>
    </row>
    <row r="25" spans="1:6" ht="15.6">
      <c r="A25" s="230" t="s">
        <v>606</v>
      </c>
      <c r="B25" s="231">
        <v>871</v>
      </c>
      <c r="C25" s="231" t="s">
        <v>657</v>
      </c>
      <c r="D25" s="240">
        <f>D26</f>
        <v>189904287.05000001</v>
      </c>
      <c r="E25" s="240">
        <f t="shared" ref="E25:F27" si="6">E26</f>
        <v>190472795.74000001</v>
      </c>
      <c r="F25" s="240">
        <f t="shared" si="6"/>
        <v>134235086.80000001</v>
      </c>
    </row>
    <row r="26" spans="1:6" ht="15.6">
      <c r="A26" s="230" t="s">
        <v>658</v>
      </c>
      <c r="B26" s="231">
        <v>871</v>
      </c>
      <c r="C26" s="231" t="s">
        <v>659</v>
      </c>
      <c r="D26" s="240">
        <f>D27</f>
        <v>189904287.05000001</v>
      </c>
      <c r="E26" s="240">
        <f t="shared" si="6"/>
        <v>190472795.74000001</v>
      </c>
      <c r="F26" s="240">
        <f t="shared" si="6"/>
        <v>134235086.80000001</v>
      </c>
    </row>
    <row r="27" spans="1:6" ht="15.6">
      <c r="A27" s="230" t="s">
        <v>660</v>
      </c>
      <c r="B27" s="231">
        <v>871</v>
      </c>
      <c r="C27" s="231" t="s">
        <v>661</v>
      </c>
      <c r="D27" s="240">
        <f>D28</f>
        <v>189904287.05000001</v>
      </c>
      <c r="E27" s="240">
        <f t="shared" si="6"/>
        <v>190472795.74000001</v>
      </c>
      <c r="F27" s="240">
        <f t="shared" si="6"/>
        <v>134235086.80000001</v>
      </c>
    </row>
    <row r="28" spans="1:6" ht="31.2">
      <c r="A28" s="230" t="s">
        <v>612</v>
      </c>
      <c r="B28" s="231">
        <v>871</v>
      </c>
      <c r="C28" s="231" t="s">
        <v>662</v>
      </c>
      <c r="D28" s="241">
        <f>'Прил 6'!J439</f>
        <v>189904287.05000001</v>
      </c>
      <c r="E28" s="241">
        <f>'Прил 6'!K439</f>
        <v>190472795.74000001</v>
      </c>
      <c r="F28" s="241">
        <f>'Прил 6'!L439</f>
        <v>134235086.80000001</v>
      </c>
    </row>
    <row r="29" spans="1:6">
      <c r="A29" s="221"/>
      <c r="B29" s="221"/>
      <c r="C29" s="221"/>
      <c r="D29" s="221"/>
    </row>
    <row r="30" spans="1:6">
      <c r="A30" s="221"/>
      <c r="B30" s="221"/>
      <c r="C30" s="221"/>
      <c r="D30" s="221"/>
    </row>
    <row r="31" spans="1:6">
      <c r="A31" s="221"/>
      <c r="B31" s="221"/>
      <c r="C31" s="221"/>
      <c r="D31" s="221"/>
    </row>
    <row r="32" spans="1:6">
      <c r="A32" s="221"/>
      <c r="B32" s="221"/>
      <c r="C32" s="221"/>
      <c r="D32" s="221"/>
    </row>
    <row r="33" spans="1:4">
      <c r="A33" s="221"/>
      <c r="B33" s="221"/>
      <c r="C33" s="221"/>
      <c r="D33" s="221"/>
    </row>
  </sheetData>
  <mergeCells count="12">
    <mergeCell ref="D6:F6"/>
    <mergeCell ref="A11:A12"/>
    <mergeCell ref="B11:C11"/>
    <mergeCell ref="D11:D12"/>
    <mergeCell ref="E11:E12"/>
    <mergeCell ref="F11:F12"/>
    <mergeCell ref="A8:F8"/>
    <mergeCell ref="D1:F1"/>
    <mergeCell ref="D2:F2"/>
    <mergeCell ref="D3:F3"/>
    <mergeCell ref="D4:F4"/>
    <mergeCell ref="D5:F5"/>
  </mergeCells>
  <pageMargins left="0.78740157480314965" right="0.19685039370078741" top="0.39370078740157483" bottom="0.39370078740157483" header="0.15748031496062992" footer="0.27559055118110237"/>
  <pageSetup paperSize="9" scale="85"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8080"/>
  </sheetPr>
  <dimension ref="A1:G20"/>
  <sheetViews>
    <sheetView view="pageBreakPreview" topLeftCell="A16" zoomScaleNormal="100" zoomScaleSheetLayoutView="100" workbookViewId="0">
      <selection activeCell="C2" sqref="C2:E2"/>
    </sheetView>
  </sheetViews>
  <sheetFormatPr defaultColWidth="9.109375" defaultRowHeight="13.2"/>
  <cols>
    <col min="1" max="1" width="28.33203125" style="178" customWidth="1"/>
    <col min="2" max="2" width="45.33203125" style="178" customWidth="1"/>
    <col min="3" max="3" width="21.5546875" style="178" customWidth="1"/>
    <col min="4" max="4" width="18.109375" style="178" customWidth="1"/>
    <col min="5" max="5" width="17" style="178" customWidth="1"/>
    <col min="6" max="16384" width="9.109375" style="178"/>
  </cols>
  <sheetData>
    <row r="1" spans="1:7" s="168" customFormat="1" ht="15.6">
      <c r="A1" s="167"/>
      <c r="B1" s="169"/>
      <c r="C1" s="280" t="s">
        <v>666</v>
      </c>
      <c r="D1" s="280"/>
      <c r="E1" s="280"/>
    </row>
    <row r="2" spans="1:7" s="168" customFormat="1" ht="15.6">
      <c r="A2" s="167"/>
      <c r="B2" s="169"/>
      <c r="C2" s="280" t="s">
        <v>3</v>
      </c>
      <c r="D2" s="280"/>
      <c r="E2" s="280"/>
    </row>
    <row r="3" spans="1:7" s="168" customFormat="1" ht="15.6">
      <c r="A3" s="167"/>
      <c r="B3" s="169"/>
      <c r="C3" s="280" t="s">
        <v>486</v>
      </c>
      <c r="D3" s="280"/>
      <c r="E3" s="280"/>
    </row>
    <row r="4" spans="1:7" s="168" customFormat="1" ht="15.6">
      <c r="A4" s="167"/>
      <c r="B4" s="169"/>
      <c r="C4" s="280" t="s">
        <v>487</v>
      </c>
      <c r="D4" s="280"/>
      <c r="E4" s="280"/>
    </row>
    <row r="5" spans="1:7" s="168" customFormat="1" ht="15.6">
      <c r="A5" s="167"/>
      <c r="B5" s="169"/>
      <c r="C5" s="280" t="s">
        <v>488</v>
      </c>
      <c r="D5" s="280"/>
      <c r="E5" s="280"/>
    </row>
    <row r="6" spans="1:7" s="168" customFormat="1" ht="15.6">
      <c r="A6" s="167"/>
      <c r="B6" s="169"/>
      <c r="C6" s="280" t="s">
        <v>489</v>
      </c>
      <c r="D6" s="280"/>
      <c r="E6" s="280"/>
    </row>
    <row r="7" spans="1:7" s="168" customFormat="1" ht="15.6">
      <c r="A7" s="167"/>
      <c r="B7" s="169"/>
      <c r="C7" s="169"/>
    </row>
    <row r="8" spans="1:7" s="168" customFormat="1" ht="47.25" customHeight="1">
      <c r="A8" s="279" t="s">
        <v>665</v>
      </c>
      <c r="B8" s="279"/>
      <c r="C8" s="279"/>
      <c r="D8" s="279"/>
      <c r="E8" s="279"/>
    </row>
    <row r="9" spans="1:7" s="168" customFormat="1" ht="13.8">
      <c r="A9" s="167"/>
      <c r="B9" s="167"/>
      <c r="E9" s="170" t="s">
        <v>2</v>
      </c>
    </row>
    <row r="10" spans="1:7" s="168" customFormat="1" ht="179.25" customHeight="1">
      <c r="A10" s="171" t="s">
        <v>591</v>
      </c>
      <c r="B10" s="171" t="s">
        <v>592</v>
      </c>
      <c r="C10" s="102" t="s">
        <v>491</v>
      </c>
      <c r="D10" s="102" t="s">
        <v>490</v>
      </c>
      <c r="E10" s="102" t="s">
        <v>492</v>
      </c>
    </row>
    <row r="11" spans="1:7" s="168" customFormat="1" ht="46.8">
      <c r="A11" s="172" t="s">
        <v>593</v>
      </c>
      <c r="B11" s="173" t="s">
        <v>594</v>
      </c>
      <c r="C11" s="174">
        <f>C12</f>
        <v>47353713.689999998</v>
      </c>
      <c r="D11" s="174">
        <f t="shared" ref="D11:E11" si="0">D12</f>
        <v>47922222.379999995</v>
      </c>
      <c r="E11" s="174">
        <f t="shared" si="0"/>
        <v>-17826772.149999976</v>
      </c>
      <c r="F11" s="181"/>
      <c r="G11" s="181"/>
    </row>
    <row r="12" spans="1:7" s="168" customFormat="1" ht="31.2">
      <c r="A12" s="175" t="s">
        <v>595</v>
      </c>
      <c r="B12" s="173" t="s">
        <v>596</v>
      </c>
      <c r="C12" s="176">
        <f>C13+C17</f>
        <v>47353713.689999998</v>
      </c>
      <c r="D12" s="176">
        <f t="shared" ref="D12:E12" si="1">D13+D17</f>
        <v>47922222.379999995</v>
      </c>
      <c r="E12" s="176">
        <f t="shared" si="1"/>
        <v>-17826772.149999976</v>
      </c>
    </row>
    <row r="13" spans="1:7" s="168" customFormat="1" ht="15.6">
      <c r="A13" s="175" t="s">
        <v>597</v>
      </c>
      <c r="B13" s="177" t="s">
        <v>598</v>
      </c>
      <c r="C13" s="176">
        <f>+C14</f>
        <v>-142550573.36000001</v>
      </c>
      <c r="D13" s="176">
        <f t="shared" ref="D13:E15" si="2">+D14</f>
        <v>-142550573.36000001</v>
      </c>
      <c r="E13" s="176">
        <f t="shared" si="2"/>
        <v>-152061858.94999999</v>
      </c>
    </row>
    <row r="14" spans="1:7" s="168" customFormat="1" ht="31.2">
      <c r="A14" s="175" t="s">
        <v>599</v>
      </c>
      <c r="B14" s="177" t="s">
        <v>600</v>
      </c>
      <c r="C14" s="176">
        <f>+C15</f>
        <v>-142550573.36000001</v>
      </c>
      <c r="D14" s="176">
        <f t="shared" si="2"/>
        <v>-142550573.36000001</v>
      </c>
      <c r="E14" s="176">
        <f t="shared" si="2"/>
        <v>-152061858.94999999</v>
      </c>
    </row>
    <row r="15" spans="1:7" s="168" customFormat="1" ht="31.2">
      <c r="A15" s="175" t="s">
        <v>601</v>
      </c>
      <c r="B15" s="177" t="s">
        <v>602</v>
      </c>
      <c r="C15" s="176">
        <f>+C16</f>
        <v>-142550573.36000001</v>
      </c>
      <c r="D15" s="176">
        <f t="shared" si="2"/>
        <v>-142550573.36000001</v>
      </c>
      <c r="E15" s="176">
        <f t="shared" si="2"/>
        <v>-152061858.94999999</v>
      </c>
    </row>
    <row r="16" spans="1:7" s="168" customFormat="1" ht="31.2">
      <c r="A16" s="175" t="s">
        <v>603</v>
      </c>
      <c r="B16" s="177" t="s">
        <v>604</v>
      </c>
      <c r="C16" s="176">
        <f>-'Прил 1'!C42</f>
        <v>-142550573.36000001</v>
      </c>
      <c r="D16" s="176">
        <f>-'Прил 1'!D42</f>
        <v>-142550573.36000001</v>
      </c>
      <c r="E16" s="176">
        <f>-'Прил 1'!E42</f>
        <v>-152061858.94999999</v>
      </c>
    </row>
    <row r="17" spans="1:5" s="168" customFormat="1" ht="15.6">
      <c r="A17" s="175" t="s">
        <v>605</v>
      </c>
      <c r="B17" s="177" t="s">
        <v>606</v>
      </c>
      <c r="C17" s="176">
        <f>+C18</f>
        <v>189904287.05000001</v>
      </c>
      <c r="D17" s="176">
        <f t="shared" ref="D17:E17" si="3">+D18</f>
        <v>190472795.74000001</v>
      </c>
      <c r="E17" s="176">
        <f t="shared" si="3"/>
        <v>134235086.80000001</v>
      </c>
    </row>
    <row r="18" spans="1:5" s="168" customFormat="1" ht="31.2">
      <c r="A18" s="175" t="s">
        <v>607</v>
      </c>
      <c r="B18" s="177" t="s">
        <v>608</v>
      </c>
      <c r="C18" s="176">
        <f>C19</f>
        <v>189904287.05000001</v>
      </c>
      <c r="D18" s="176">
        <f t="shared" ref="D18:E19" si="4">D19</f>
        <v>190472795.74000001</v>
      </c>
      <c r="E18" s="176">
        <f t="shared" si="4"/>
        <v>134235086.80000001</v>
      </c>
    </row>
    <row r="19" spans="1:5" s="168" customFormat="1" ht="31.2">
      <c r="A19" s="175" t="s">
        <v>609</v>
      </c>
      <c r="B19" s="177" t="s">
        <v>610</v>
      </c>
      <c r="C19" s="176">
        <f>C20</f>
        <v>189904287.05000001</v>
      </c>
      <c r="D19" s="176">
        <f t="shared" si="4"/>
        <v>190472795.74000001</v>
      </c>
      <c r="E19" s="176">
        <f t="shared" si="4"/>
        <v>134235086.80000001</v>
      </c>
    </row>
    <row r="20" spans="1:5" s="168" customFormat="1" ht="31.2">
      <c r="A20" s="175" t="s">
        <v>611</v>
      </c>
      <c r="B20" s="177" t="s">
        <v>612</v>
      </c>
      <c r="C20" s="176">
        <f>'Прил 6'!J439</f>
        <v>189904287.05000001</v>
      </c>
      <c r="D20" s="176">
        <f>'Прил 6'!K439</f>
        <v>190472795.74000001</v>
      </c>
      <c r="E20" s="176">
        <f>'Прил 6'!L439</f>
        <v>134235086.80000001</v>
      </c>
    </row>
  </sheetData>
  <mergeCells count="7">
    <mergeCell ref="A8:E8"/>
    <mergeCell ref="C1:E1"/>
    <mergeCell ref="C2:E2"/>
    <mergeCell ref="C3:E3"/>
    <mergeCell ref="C4:E4"/>
    <mergeCell ref="C5:E5"/>
    <mergeCell ref="C6:E6"/>
  </mergeCells>
  <pageMargins left="0.78740157480314965" right="0.19685039370078741" top="0.39370078740157483" bottom="0.3937007874015748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8080"/>
  </sheetPr>
  <dimension ref="A1:L28"/>
  <sheetViews>
    <sheetView view="pageBreakPreview" zoomScaleNormal="100" zoomScaleSheetLayoutView="100" workbookViewId="0">
      <selection activeCell="D17" sqref="D17"/>
    </sheetView>
  </sheetViews>
  <sheetFormatPr defaultRowHeight="13.2"/>
  <cols>
    <col min="1" max="1" width="42" style="207" customWidth="1"/>
    <col min="2" max="2" width="21.6640625" style="207" customWidth="1"/>
    <col min="3" max="3" width="16.5546875" style="207" customWidth="1"/>
    <col min="4" max="4" width="22.5546875" style="207" bestFit="1" customWidth="1"/>
    <col min="5" max="5" width="16.5546875" style="207" customWidth="1"/>
    <col min="6" max="6" width="21.33203125" style="207" customWidth="1"/>
    <col min="7" max="7" width="16.5546875" style="207" customWidth="1"/>
    <col min="8" max="10" width="21.33203125" style="207" customWidth="1"/>
    <col min="11" max="256" width="9.109375" style="207"/>
    <col min="257" max="257" width="42" style="207" customWidth="1"/>
    <col min="258" max="258" width="21.6640625" style="207" customWidth="1"/>
    <col min="259" max="259" width="16.5546875" style="207" customWidth="1"/>
    <col min="260" max="260" width="22.5546875" style="207" bestFit="1" customWidth="1"/>
    <col min="261" max="261" width="16.5546875" style="207" customWidth="1"/>
    <col min="262" max="262" width="21.33203125" style="207" customWidth="1"/>
    <col min="263" max="263" width="16.5546875" style="207" customWidth="1"/>
    <col min="264" max="266" width="21.33203125" style="207" customWidth="1"/>
    <col min="267" max="512" width="9.109375" style="207"/>
    <col min="513" max="513" width="42" style="207" customWidth="1"/>
    <col min="514" max="514" width="21.6640625" style="207" customWidth="1"/>
    <col min="515" max="515" width="16.5546875" style="207" customWidth="1"/>
    <col min="516" max="516" width="22.5546875" style="207" bestFit="1" customWidth="1"/>
    <col min="517" max="517" width="16.5546875" style="207" customWidth="1"/>
    <col min="518" max="518" width="21.33203125" style="207" customWidth="1"/>
    <col min="519" max="519" width="16.5546875" style="207" customWidth="1"/>
    <col min="520" max="522" width="21.33203125" style="207" customWidth="1"/>
    <col min="523" max="768" width="9.109375" style="207"/>
    <col min="769" max="769" width="42" style="207" customWidth="1"/>
    <col min="770" max="770" width="21.6640625" style="207" customWidth="1"/>
    <col min="771" max="771" width="16.5546875" style="207" customWidth="1"/>
    <col min="772" max="772" width="22.5546875" style="207" bestFit="1" customWidth="1"/>
    <col min="773" max="773" width="16.5546875" style="207" customWidth="1"/>
    <col min="774" max="774" width="21.33203125" style="207" customWidth="1"/>
    <col min="775" max="775" width="16.5546875" style="207" customWidth="1"/>
    <col min="776" max="778" width="21.33203125" style="207" customWidth="1"/>
    <col min="779" max="1024" width="9.109375" style="207"/>
    <col min="1025" max="1025" width="42" style="207" customWidth="1"/>
    <col min="1026" max="1026" width="21.6640625" style="207" customWidth="1"/>
    <col min="1027" max="1027" width="16.5546875" style="207" customWidth="1"/>
    <col min="1028" max="1028" width="22.5546875" style="207" bestFit="1" customWidth="1"/>
    <col min="1029" max="1029" width="16.5546875" style="207" customWidth="1"/>
    <col min="1030" max="1030" width="21.33203125" style="207" customWidth="1"/>
    <col min="1031" max="1031" width="16.5546875" style="207" customWidth="1"/>
    <col min="1032" max="1034" width="21.33203125" style="207" customWidth="1"/>
    <col min="1035" max="1280" width="9.109375" style="207"/>
    <col min="1281" max="1281" width="42" style="207" customWidth="1"/>
    <col min="1282" max="1282" width="21.6640625" style="207" customWidth="1"/>
    <col min="1283" max="1283" width="16.5546875" style="207" customWidth="1"/>
    <col min="1284" max="1284" width="22.5546875" style="207" bestFit="1" customWidth="1"/>
    <col min="1285" max="1285" width="16.5546875" style="207" customWidth="1"/>
    <col min="1286" max="1286" width="21.33203125" style="207" customWidth="1"/>
    <col min="1287" max="1287" width="16.5546875" style="207" customWidth="1"/>
    <col min="1288" max="1290" width="21.33203125" style="207" customWidth="1"/>
    <col min="1291" max="1536" width="9.109375" style="207"/>
    <col min="1537" max="1537" width="42" style="207" customWidth="1"/>
    <col min="1538" max="1538" width="21.6640625" style="207" customWidth="1"/>
    <col min="1539" max="1539" width="16.5546875" style="207" customWidth="1"/>
    <col min="1540" max="1540" width="22.5546875" style="207" bestFit="1" customWidth="1"/>
    <col min="1541" max="1541" width="16.5546875" style="207" customWidth="1"/>
    <col min="1542" max="1542" width="21.33203125" style="207" customWidth="1"/>
    <col min="1543" max="1543" width="16.5546875" style="207" customWidth="1"/>
    <col min="1544" max="1546" width="21.33203125" style="207" customWidth="1"/>
    <col min="1547" max="1792" width="9.109375" style="207"/>
    <col min="1793" max="1793" width="42" style="207" customWidth="1"/>
    <col min="1794" max="1794" width="21.6640625" style="207" customWidth="1"/>
    <col min="1795" max="1795" width="16.5546875" style="207" customWidth="1"/>
    <col min="1796" max="1796" width="22.5546875" style="207" bestFit="1" customWidth="1"/>
    <col min="1797" max="1797" width="16.5546875" style="207" customWidth="1"/>
    <col min="1798" max="1798" width="21.33203125" style="207" customWidth="1"/>
    <col min="1799" max="1799" width="16.5546875" style="207" customWidth="1"/>
    <col min="1800" max="1802" width="21.33203125" style="207" customWidth="1"/>
    <col min="1803" max="2048" width="9.109375" style="207"/>
    <col min="2049" max="2049" width="42" style="207" customWidth="1"/>
    <col min="2050" max="2050" width="21.6640625" style="207" customWidth="1"/>
    <col min="2051" max="2051" width="16.5546875" style="207" customWidth="1"/>
    <col min="2052" max="2052" width="22.5546875" style="207" bestFit="1" customWidth="1"/>
    <col min="2053" max="2053" width="16.5546875" style="207" customWidth="1"/>
    <col min="2054" max="2054" width="21.33203125" style="207" customWidth="1"/>
    <col min="2055" max="2055" width="16.5546875" style="207" customWidth="1"/>
    <col min="2056" max="2058" width="21.33203125" style="207" customWidth="1"/>
    <col min="2059" max="2304" width="9.109375" style="207"/>
    <col min="2305" max="2305" width="42" style="207" customWidth="1"/>
    <col min="2306" max="2306" width="21.6640625" style="207" customWidth="1"/>
    <col min="2307" max="2307" width="16.5546875" style="207" customWidth="1"/>
    <col min="2308" max="2308" width="22.5546875" style="207" bestFit="1" customWidth="1"/>
    <col min="2309" max="2309" width="16.5546875" style="207" customWidth="1"/>
    <col min="2310" max="2310" width="21.33203125" style="207" customWidth="1"/>
    <col min="2311" max="2311" width="16.5546875" style="207" customWidth="1"/>
    <col min="2312" max="2314" width="21.33203125" style="207" customWidth="1"/>
    <col min="2315" max="2560" width="9.109375" style="207"/>
    <col min="2561" max="2561" width="42" style="207" customWidth="1"/>
    <col min="2562" max="2562" width="21.6640625" style="207" customWidth="1"/>
    <col min="2563" max="2563" width="16.5546875" style="207" customWidth="1"/>
    <col min="2564" max="2564" width="22.5546875" style="207" bestFit="1" customWidth="1"/>
    <col min="2565" max="2565" width="16.5546875" style="207" customWidth="1"/>
    <col min="2566" max="2566" width="21.33203125" style="207" customWidth="1"/>
    <col min="2567" max="2567" width="16.5546875" style="207" customWidth="1"/>
    <col min="2568" max="2570" width="21.33203125" style="207" customWidth="1"/>
    <col min="2571" max="2816" width="9.109375" style="207"/>
    <col min="2817" max="2817" width="42" style="207" customWidth="1"/>
    <col min="2818" max="2818" width="21.6640625" style="207" customWidth="1"/>
    <col min="2819" max="2819" width="16.5546875" style="207" customWidth="1"/>
    <col min="2820" max="2820" width="22.5546875" style="207" bestFit="1" customWidth="1"/>
    <col min="2821" max="2821" width="16.5546875" style="207" customWidth="1"/>
    <col min="2822" max="2822" width="21.33203125" style="207" customWidth="1"/>
    <col min="2823" max="2823" width="16.5546875" style="207" customWidth="1"/>
    <col min="2824" max="2826" width="21.33203125" style="207" customWidth="1"/>
    <col min="2827" max="3072" width="9.109375" style="207"/>
    <col min="3073" max="3073" width="42" style="207" customWidth="1"/>
    <col min="3074" max="3074" width="21.6640625" style="207" customWidth="1"/>
    <col min="3075" max="3075" width="16.5546875" style="207" customWidth="1"/>
    <col min="3076" max="3076" width="22.5546875" style="207" bestFit="1" customWidth="1"/>
    <col min="3077" max="3077" width="16.5546875" style="207" customWidth="1"/>
    <col min="3078" max="3078" width="21.33203125" style="207" customWidth="1"/>
    <col min="3079" max="3079" width="16.5546875" style="207" customWidth="1"/>
    <col min="3080" max="3082" width="21.33203125" style="207" customWidth="1"/>
    <col min="3083" max="3328" width="9.109375" style="207"/>
    <col min="3329" max="3329" width="42" style="207" customWidth="1"/>
    <col min="3330" max="3330" width="21.6640625" style="207" customWidth="1"/>
    <col min="3331" max="3331" width="16.5546875" style="207" customWidth="1"/>
    <col min="3332" max="3332" width="22.5546875" style="207" bestFit="1" customWidth="1"/>
    <col min="3333" max="3333" width="16.5546875" style="207" customWidth="1"/>
    <col min="3334" max="3334" width="21.33203125" style="207" customWidth="1"/>
    <col min="3335" max="3335" width="16.5546875" style="207" customWidth="1"/>
    <col min="3336" max="3338" width="21.33203125" style="207" customWidth="1"/>
    <col min="3339" max="3584" width="9.109375" style="207"/>
    <col min="3585" max="3585" width="42" style="207" customWidth="1"/>
    <col min="3586" max="3586" width="21.6640625" style="207" customWidth="1"/>
    <col min="3587" max="3587" width="16.5546875" style="207" customWidth="1"/>
    <col min="3588" max="3588" width="22.5546875" style="207" bestFit="1" customWidth="1"/>
    <col min="3589" max="3589" width="16.5546875" style="207" customWidth="1"/>
    <col min="3590" max="3590" width="21.33203125" style="207" customWidth="1"/>
    <col min="3591" max="3591" width="16.5546875" style="207" customWidth="1"/>
    <col min="3592" max="3594" width="21.33203125" style="207" customWidth="1"/>
    <col min="3595" max="3840" width="9.109375" style="207"/>
    <col min="3841" max="3841" width="42" style="207" customWidth="1"/>
    <col min="3842" max="3842" width="21.6640625" style="207" customWidth="1"/>
    <col min="3843" max="3843" width="16.5546875" style="207" customWidth="1"/>
    <col min="3844" max="3844" width="22.5546875" style="207" bestFit="1" customWidth="1"/>
    <col min="3845" max="3845" width="16.5546875" style="207" customWidth="1"/>
    <col min="3846" max="3846" width="21.33203125" style="207" customWidth="1"/>
    <col min="3847" max="3847" width="16.5546875" style="207" customWidth="1"/>
    <col min="3848" max="3850" width="21.33203125" style="207" customWidth="1"/>
    <col min="3851" max="4096" width="9.109375" style="207"/>
    <col min="4097" max="4097" width="42" style="207" customWidth="1"/>
    <col min="4098" max="4098" width="21.6640625" style="207" customWidth="1"/>
    <col min="4099" max="4099" width="16.5546875" style="207" customWidth="1"/>
    <col min="4100" max="4100" width="22.5546875" style="207" bestFit="1" customWidth="1"/>
    <col min="4101" max="4101" width="16.5546875" style="207" customWidth="1"/>
    <col min="4102" max="4102" width="21.33203125" style="207" customWidth="1"/>
    <col min="4103" max="4103" width="16.5546875" style="207" customWidth="1"/>
    <col min="4104" max="4106" width="21.33203125" style="207" customWidth="1"/>
    <col min="4107" max="4352" width="9.109375" style="207"/>
    <col min="4353" max="4353" width="42" style="207" customWidth="1"/>
    <col min="4354" max="4354" width="21.6640625" style="207" customWidth="1"/>
    <col min="4355" max="4355" width="16.5546875" style="207" customWidth="1"/>
    <col min="4356" max="4356" width="22.5546875" style="207" bestFit="1" customWidth="1"/>
    <col min="4357" max="4357" width="16.5546875" style="207" customWidth="1"/>
    <col min="4358" max="4358" width="21.33203125" style="207" customWidth="1"/>
    <col min="4359" max="4359" width="16.5546875" style="207" customWidth="1"/>
    <col min="4360" max="4362" width="21.33203125" style="207" customWidth="1"/>
    <col min="4363" max="4608" width="9.109375" style="207"/>
    <col min="4609" max="4609" width="42" style="207" customWidth="1"/>
    <col min="4610" max="4610" width="21.6640625" style="207" customWidth="1"/>
    <col min="4611" max="4611" width="16.5546875" style="207" customWidth="1"/>
    <col min="4612" max="4612" width="22.5546875" style="207" bestFit="1" customWidth="1"/>
    <col min="4613" max="4613" width="16.5546875" style="207" customWidth="1"/>
    <col min="4614" max="4614" width="21.33203125" style="207" customWidth="1"/>
    <col min="4615" max="4615" width="16.5546875" style="207" customWidth="1"/>
    <col min="4616" max="4618" width="21.33203125" style="207" customWidth="1"/>
    <col min="4619" max="4864" width="9.109375" style="207"/>
    <col min="4865" max="4865" width="42" style="207" customWidth="1"/>
    <col min="4866" max="4866" width="21.6640625" style="207" customWidth="1"/>
    <col min="4867" max="4867" width="16.5546875" style="207" customWidth="1"/>
    <col min="4868" max="4868" width="22.5546875" style="207" bestFit="1" customWidth="1"/>
    <col min="4869" max="4869" width="16.5546875" style="207" customWidth="1"/>
    <col min="4870" max="4870" width="21.33203125" style="207" customWidth="1"/>
    <col min="4871" max="4871" width="16.5546875" style="207" customWidth="1"/>
    <col min="4872" max="4874" width="21.33203125" style="207" customWidth="1"/>
    <col min="4875" max="5120" width="9.109375" style="207"/>
    <col min="5121" max="5121" width="42" style="207" customWidth="1"/>
    <col min="5122" max="5122" width="21.6640625" style="207" customWidth="1"/>
    <col min="5123" max="5123" width="16.5546875" style="207" customWidth="1"/>
    <col min="5124" max="5124" width="22.5546875" style="207" bestFit="1" customWidth="1"/>
    <col min="5125" max="5125" width="16.5546875" style="207" customWidth="1"/>
    <col min="5126" max="5126" width="21.33203125" style="207" customWidth="1"/>
    <col min="5127" max="5127" width="16.5546875" style="207" customWidth="1"/>
    <col min="5128" max="5130" width="21.33203125" style="207" customWidth="1"/>
    <col min="5131" max="5376" width="9.109375" style="207"/>
    <col min="5377" max="5377" width="42" style="207" customWidth="1"/>
    <col min="5378" max="5378" width="21.6640625" style="207" customWidth="1"/>
    <col min="5379" max="5379" width="16.5546875" style="207" customWidth="1"/>
    <col min="5380" max="5380" width="22.5546875" style="207" bestFit="1" customWidth="1"/>
    <col min="5381" max="5381" width="16.5546875" style="207" customWidth="1"/>
    <col min="5382" max="5382" width="21.33203125" style="207" customWidth="1"/>
    <col min="5383" max="5383" width="16.5546875" style="207" customWidth="1"/>
    <col min="5384" max="5386" width="21.33203125" style="207" customWidth="1"/>
    <col min="5387" max="5632" width="9.109375" style="207"/>
    <col min="5633" max="5633" width="42" style="207" customWidth="1"/>
    <col min="5634" max="5634" width="21.6640625" style="207" customWidth="1"/>
    <col min="5635" max="5635" width="16.5546875" style="207" customWidth="1"/>
    <col min="5636" max="5636" width="22.5546875" style="207" bestFit="1" customWidth="1"/>
    <col min="5637" max="5637" width="16.5546875" style="207" customWidth="1"/>
    <col min="5638" max="5638" width="21.33203125" style="207" customWidth="1"/>
    <col min="5639" max="5639" width="16.5546875" style="207" customWidth="1"/>
    <col min="5640" max="5642" width="21.33203125" style="207" customWidth="1"/>
    <col min="5643" max="5888" width="9.109375" style="207"/>
    <col min="5889" max="5889" width="42" style="207" customWidth="1"/>
    <col min="5890" max="5890" width="21.6640625" style="207" customWidth="1"/>
    <col min="5891" max="5891" width="16.5546875" style="207" customWidth="1"/>
    <col min="5892" max="5892" width="22.5546875" style="207" bestFit="1" customWidth="1"/>
    <col min="5893" max="5893" width="16.5546875" style="207" customWidth="1"/>
    <col min="5894" max="5894" width="21.33203125" style="207" customWidth="1"/>
    <col min="5895" max="5895" width="16.5546875" style="207" customWidth="1"/>
    <col min="5896" max="5898" width="21.33203125" style="207" customWidth="1"/>
    <col min="5899" max="6144" width="9.109375" style="207"/>
    <col min="6145" max="6145" width="42" style="207" customWidth="1"/>
    <col min="6146" max="6146" width="21.6640625" style="207" customWidth="1"/>
    <col min="6147" max="6147" width="16.5546875" style="207" customWidth="1"/>
    <col min="6148" max="6148" width="22.5546875" style="207" bestFit="1" customWidth="1"/>
    <col min="6149" max="6149" width="16.5546875" style="207" customWidth="1"/>
    <col min="6150" max="6150" width="21.33203125" style="207" customWidth="1"/>
    <col min="6151" max="6151" width="16.5546875" style="207" customWidth="1"/>
    <col min="6152" max="6154" width="21.33203125" style="207" customWidth="1"/>
    <col min="6155" max="6400" width="9.109375" style="207"/>
    <col min="6401" max="6401" width="42" style="207" customWidth="1"/>
    <col min="6402" max="6402" width="21.6640625" style="207" customWidth="1"/>
    <col min="6403" max="6403" width="16.5546875" style="207" customWidth="1"/>
    <col min="6404" max="6404" width="22.5546875" style="207" bestFit="1" customWidth="1"/>
    <col min="6405" max="6405" width="16.5546875" style="207" customWidth="1"/>
    <col min="6406" max="6406" width="21.33203125" style="207" customWidth="1"/>
    <col min="6407" max="6407" width="16.5546875" style="207" customWidth="1"/>
    <col min="6408" max="6410" width="21.33203125" style="207" customWidth="1"/>
    <col min="6411" max="6656" width="9.109375" style="207"/>
    <col min="6657" max="6657" width="42" style="207" customWidth="1"/>
    <col min="6658" max="6658" width="21.6640625" style="207" customWidth="1"/>
    <col min="6659" max="6659" width="16.5546875" style="207" customWidth="1"/>
    <col min="6660" max="6660" width="22.5546875" style="207" bestFit="1" customWidth="1"/>
    <col min="6661" max="6661" width="16.5546875" style="207" customWidth="1"/>
    <col min="6662" max="6662" width="21.33203125" style="207" customWidth="1"/>
    <col min="6663" max="6663" width="16.5546875" style="207" customWidth="1"/>
    <col min="6664" max="6666" width="21.33203125" style="207" customWidth="1"/>
    <col min="6667" max="6912" width="9.109375" style="207"/>
    <col min="6913" max="6913" width="42" style="207" customWidth="1"/>
    <col min="6914" max="6914" width="21.6640625" style="207" customWidth="1"/>
    <col min="6915" max="6915" width="16.5546875" style="207" customWidth="1"/>
    <col min="6916" max="6916" width="22.5546875" style="207" bestFit="1" customWidth="1"/>
    <col min="6917" max="6917" width="16.5546875" style="207" customWidth="1"/>
    <col min="6918" max="6918" width="21.33203125" style="207" customWidth="1"/>
    <col min="6919" max="6919" width="16.5546875" style="207" customWidth="1"/>
    <col min="6920" max="6922" width="21.33203125" style="207" customWidth="1"/>
    <col min="6923" max="7168" width="9.109375" style="207"/>
    <col min="7169" max="7169" width="42" style="207" customWidth="1"/>
    <col min="7170" max="7170" width="21.6640625" style="207" customWidth="1"/>
    <col min="7171" max="7171" width="16.5546875" style="207" customWidth="1"/>
    <col min="7172" max="7172" width="22.5546875" style="207" bestFit="1" customWidth="1"/>
    <col min="7173" max="7173" width="16.5546875" style="207" customWidth="1"/>
    <col min="7174" max="7174" width="21.33203125" style="207" customWidth="1"/>
    <col min="7175" max="7175" width="16.5546875" style="207" customWidth="1"/>
    <col min="7176" max="7178" width="21.33203125" style="207" customWidth="1"/>
    <col min="7179" max="7424" width="9.109375" style="207"/>
    <col min="7425" max="7425" width="42" style="207" customWidth="1"/>
    <col min="7426" max="7426" width="21.6640625" style="207" customWidth="1"/>
    <col min="7427" max="7427" width="16.5546875" style="207" customWidth="1"/>
    <col min="7428" max="7428" width="22.5546875" style="207" bestFit="1" customWidth="1"/>
    <col min="7429" max="7429" width="16.5546875" style="207" customWidth="1"/>
    <col min="7430" max="7430" width="21.33203125" style="207" customWidth="1"/>
    <col min="7431" max="7431" width="16.5546875" style="207" customWidth="1"/>
    <col min="7432" max="7434" width="21.33203125" style="207" customWidth="1"/>
    <col min="7435" max="7680" width="9.109375" style="207"/>
    <col min="7681" max="7681" width="42" style="207" customWidth="1"/>
    <col min="7682" max="7682" width="21.6640625" style="207" customWidth="1"/>
    <col min="7683" max="7683" width="16.5546875" style="207" customWidth="1"/>
    <col min="7684" max="7684" width="22.5546875" style="207" bestFit="1" customWidth="1"/>
    <col min="7685" max="7685" width="16.5546875" style="207" customWidth="1"/>
    <col min="7686" max="7686" width="21.33203125" style="207" customWidth="1"/>
    <col min="7687" max="7687" width="16.5546875" style="207" customWidth="1"/>
    <col min="7688" max="7690" width="21.33203125" style="207" customWidth="1"/>
    <col min="7691" max="7936" width="9.109375" style="207"/>
    <col min="7937" max="7937" width="42" style="207" customWidth="1"/>
    <col min="7938" max="7938" width="21.6640625" style="207" customWidth="1"/>
    <col min="7939" max="7939" width="16.5546875" style="207" customWidth="1"/>
    <col min="7940" max="7940" width="22.5546875" style="207" bestFit="1" customWidth="1"/>
    <col min="7941" max="7941" width="16.5546875" style="207" customWidth="1"/>
    <col min="7942" max="7942" width="21.33203125" style="207" customWidth="1"/>
    <col min="7943" max="7943" width="16.5546875" style="207" customWidth="1"/>
    <col min="7944" max="7946" width="21.33203125" style="207" customWidth="1"/>
    <col min="7947" max="8192" width="9.109375" style="207"/>
    <col min="8193" max="8193" width="42" style="207" customWidth="1"/>
    <col min="8194" max="8194" width="21.6640625" style="207" customWidth="1"/>
    <col min="8195" max="8195" width="16.5546875" style="207" customWidth="1"/>
    <col min="8196" max="8196" width="22.5546875" style="207" bestFit="1" customWidth="1"/>
    <col min="8197" max="8197" width="16.5546875" style="207" customWidth="1"/>
    <col min="8198" max="8198" width="21.33203125" style="207" customWidth="1"/>
    <col min="8199" max="8199" width="16.5546875" style="207" customWidth="1"/>
    <col min="8200" max="8202" width="21.33203125" style="207" customWidth="1"/>
    <col min="8203" max="8448" width="9.109375" style="207"/>
    <col min="8449" max="8449" width="42" style="207" customWidth="1"/>
    <col min="8450" max="8450" width="21.6640625" style="207" customWidth="1"/>
    <col min="8451" max="8451" width="16.5546875" style="207" customWidth="1"/>
    <col min="8452" max="8452" width="22.5546875" style="207" bestFit="1" customWidth="1"/>
    <col min="8453" max="8453" width="16.5546875" style="207" customWidth="1"/>
    <col min="8454" max="8454" width="21.33203125" style="207" customWidth="1"/>
    <col min="8455" max="8455" width="16.5546875" style="207" customWidth="1"/>
    <col min="8456" max="8458" width="21.33203125" style="207" customWidth="1"/>
    <col min="8459" max="8704" width="9.109375" style="207"/>
    <col min="8705" max="8705" width="42" style="207" customWidth="1"/>
    <col min="8706" max="8706" width="21.6640625" style="207" customWidth="1"/>
    <col min="8707" max="8707" width="16.5546875" style="207" customWidth="1"/>
    <col min="8708" max="8708" width="22.5546875" style="207" bestFit="1" customWidth="1"/>
    <col min="8709" max="8709" width="16.5546875" style="207" customWidth="1"/>
    <col min="8710" max="8710" width="21.33203125" style="207" customWidth="1"/>
    <col min="8711" max="8711" width="16.5546875" style="207" customWidth="1"/>
    <col min="8712" max="8714" width="21.33203125" style="207" customWidth="1"/>
    <col min="8715" max="8960" width="9.109375" style="207"/>
    <col min="8961" max="8961" width="42" style="207" customWidth="1"/>
    <col min="8962" max="8962" width="21.6640625" style="207" customWidth="1"/>
    <col min="8963" max="8963" width="16.5546875" style="207" customWidth="1"/>
    <col min="8964" max="8964" width="22.5546875" style="207" bestFit="1" customWidth="1"/>
    <col min="8965" max="8965" width="16.5546875" style="207" customWidth="1"/>
    <col min="8966" max="8966" width="21.33203125" style="207" customWidth="1"/>
    <col min="8967" max="8967" width="16.5546875" style="207" customWidth="1"/>
    <col min="8968" max="8970" width="21.33203125" style="207" customWidth="1"/>
    <col min="8971" max="9216" width="9.109375" style="207"/>
    <col min="9217" max="9217" width="42" style="207" customWidth="1"/>
    <col min="9218" max="9218" width="21.6640625" style="207" customWidth="1"/>
    <col min="9219" max="9219" width="16.5546875" style="207" customWidth="1"/>
    <col min="9220" max="9220" width="22.5546875" style="207" bestFit="1" customWidth="1"/>
    <col min="9221" max="9221" width="16.5546875" style="207" customWidth="1"/>
    <col min="9222" max="9222" width="21.33203125" style="207" customWidth="1"/>
    <col min="9223" max="9223" width="16.5546875" style="207" customWidth="1"/>
    <col min="9224" max="9226" width="21.33203125" style="207" customWidth="1"/>
    <col min="9227" max="9472" width="9.109375" style="207"/>
    <col min="9473" max="9473" width="42" style="207" customWidth="1"/>
    <col min="9474" max="9474" width="21.6640625" style="207" customWidth="1"/>
    <col min="9475" max="9475" width="16.5546875" style="207" customWidth="1"/>
    <col min="9476" max="9476" width="22.5546875" style="207" bestFit="1" customWidth="1"/>
    <col min="9477" max="9477" width="16.5546875" style="207" customWidth="1"/>
    <col min="9478" max="9478" width="21.33203125" style="207" customWidth="1"/>
    <col min="9479" max="9479" width="16.5546875" style="207" customWidth="1"/>
    <col min="9480" max="9482" width="21.33203125" style="207" customWidth="1"/>
    <col min="9483" max="9728" width="9.109375" style="207"/>
    <col min="9729" max="9729" width="42" style="207" customWidth="1"/>
    <col min="9730" max="9730" width="21.6640625" style="207" customWidth="1"/>
    <col min="9731" max="9731" width="16.5546875" style="207" customWidth="1"/>
    <col min="9732" max="9732" width="22.5546875" style="207" bestFit="1" customWidth="1"/>
    <col min="9733" max="9733" width="16.5546875" style="207" customWidth="1"/>
    <col min="9734" max="9734" width="21.33203125" style="207" customWidth="1"/>
    <col min="9735" max="9735" width="16.5546875" style="207" customWidth="1"/>
    <col min="9736" max="9738" width="21.33203125" style="207" customWidth="1"/>
    <col min="9739" max="9984" width="9.109375" style="207"/>
    <col min="9985" max="9985" width="42" style="207" customWidth="1"/>
    <col min="9986" max="9986" width="21.6640625" style="207" customWidth="1"/>
    <col min="9987" max="9987" width="16.5546875" style="207" customWidth="1"/>
    <col min="9988" max="9988" width="22.5546875" style="207" bestFit="1" customWidth="1"/>
    <col min="9989" max="9989" width="16.5546875" style="207" customWidth="1"/>
    <col min="9990" max="9990" width="21.33203125" style="207" customWidth="1"/>
    <col min="9991" max="9991" width="16.5546875" style="207" customWidth="1"/>
    <col min="9992" max="9994" width="21.33203125" style="207" customWidth="1"/>
    <col min="9995" max="10240" width="9.109375" style="207"/>
    <col min="10241" max="10241" width="42" style="207" customWidth="1"/>
    <col min="10242" max="10242" width="21.6640625" style="207" customWidth="1"/>
    <col min="10243" max="10243" width="16.5546875" style="207" customWidth="1"/>
    <col min="10244" max="10244" width="22.5546875" style="207" bestFit="1" customWidth="1"/>
    <col min="10245" max="10245" width="16.5546875" style="207" customWidth="1"/>
    <col min="10246" max="10246" width="21.33203125" style="207" customWidth="1"/>
    <col min="10247" max="10247" width="16.5546875" style="207" customWidth="1"/>
    <col min="10248" max="10250" width="21.33203125" style="207" customWidth="1"/>
    <col min="10251" max="10496" width="9.109375" style="207"/>
    <col min="10497" max="10497" width="42" style="207" customWidth="1"/>
    <col min="10498" max="10498" width="21.6640625" style="207" customWidth="1"/>
    <col min="10499" max="10499" width="16.5546875" style="207" customWidth="1"/>
    <col min="10500" max="10500" width="22.5546875" style="207" bestFit="1" customWidth="1"/>
    <col min="10501" max="10501" width="16.5546875" style="207" customWidth="1"/>
    <col min="10502" max="10502" width="21.33203125" style="207" customWidth="1"/>
    <col min="10503" max="10503" width="16.5546875" style="207" customWidth="1"/>
    <col min="10504" max="10506" width="21.33203125" style="207" customWidth="1"/>
    <col min="10507" max="10752" width="9.109375" style="207"/>
    <col min="10753" max="10753" width="42" style="207" customWidth="1"/>
    <col min="10754" max="10754" width="21.6640625" style="207" customWidth="1"/>
    <col min="10755" max="10755" width="16.5546875" style="207" customWidth="1"/>
    <col min="10756" max="10756" width="22.5546875" style="207" bestFit="1" customWidth="1"/>
    <col min="10757" max="10757" width="16.5546875" style="207" customWidth="1"/>
    <col min="10758" max="10758" width="21.33203125" style="207" customWidth="1"/>
    <col min="10759" max="10759" width="16.5546875" style="207" customWidth="1"/>
    <col min="10760" max="10762" width="21.33203125" style="207" customWidth="1"/>
    <col min="10763" max="11008" width="9.109375" style="207"/>
    <col min="11009" max="11009" width="42" style="207" customWidth="1"/>
    <col min="11010" max="11010" width="21.6640625" style="207" customWidth="1"/>
    <col min="11011" max="11011" width="16.5546875" style="207" customWidth="1"/>
    <col min="11012" max="11012" width="22.5546875" style="207" bestFit="1" customWidth="1"/>
    <col min="11013" max="11013" width="16.5546875" style="207" customWidth="1"/>
    <col min="11014" max="11014" width="21.33203125" style="207" customWidth="1"/>
    <col min="11015" max="11015" width="16.5546875" style="207" customWidth="1"/>
    <col min="11016" max="11018" width="21.33203125" style="207" customWidth="1"/>
    <col min="11019" max="11264" width="9.109375" style="207"/>
    <col min="11265" max="11265" width="42" style="207" customWidth="1"/>
    <col min="11266" max="11266" width="21.6640625" style="207" customWidth="1"/>
    <col min="11267" max="11267" width="16.5546875" style="207" customWidth="1"/>
    <col min="11268" max="11268" width="22.5546875" style="207" bestFit="1" customWidth="1"/>
    <col min="11269" max="11269" width="16.5546875" style="207" customWidth="1"/>
    <col min="11270" max="11270" width="21.33203125" style="207" customWidth="1"/>
    <col min="11271" max="11271" width="16.5546875" style="207" customWidth="1"/>
    <col min="11272" max="11274" width="21.33203125" style="207" customWidth="1"/>
    <col min="11275" max="11520" width="9.109375" style="207"/>
    <col min="11521" max="11521" width="42" style="207" customWidth="1"/>
    <col min="11522" max="11522" width="21.6640625" style="207" customWidth="1"/>
    <col min="11523" max="11523" width="16.5546875" style="207" customWidth="1"/>
    <col min="11524" max="11524" width="22.5546875" style="207" bestFit="1" customWidth="1"/>
    <col min="11525" max="11525" width="16.5546875" style="207" customWidth="1"/>
    <col min="11526" max="11526" width="21.33203125" style="207" customWidth="1"/>
    <col min="11527" max="11527" width="16.5546875" style="207" customWidth="1"/>
    <col min="11528" max="11530" width="21.33203125" style="207" customWidth="1"/>
    <col min="11531" max="11776" width="9.109375" style="207"/>
    <col min="11777" max="11777" width="42" style="207" customWidth="1"/>
    <col min="11778" max="11778" width="21.6640625" style="207" customWidth="1"/>
    <col min="11779" max="11779" width="16.5546875" style="207" customWidth="1"/>
    <col min="11780" max="11780" width="22.5546875" style="207" bestFit="1" customWidth="1"/>
    <col min="11781" max="11781" width="16.5546875" style="207" customWidth="1"/>
    <col min="11782" max="11782" width="21.33203125" style="207" customWidth="1"/>
    <col min="11783" max="11783" width="16.5546875" style="207" customWidth="1"/>
    <col min="11784" max="11786" width="21.33203125" style="207" customWidth="1"/>
    <col min="11787" max="12032" width="9.109375" style="207"/>
    <col min="12033" max="12033" width="42" style="207" customWidth="1"/>
    <col min="12034" max="12034" width="21.6640625" style="207" customWidth="1"/>
    <col min="12035" max="12035" width="16.5546875" style="207" customWidth="1"/>
    <col min="12036" max="12036" width="22.5546875" style="207" bestFit="1" customWidth="1"/>
    <col min="12037" max="12037" width="16.5546875" style="207" customWidth="1"/>
    <col min="12038" max="12038" width="21.33203125" style="207" customWidth="1"/>
    <col min="12039" max="12039" width="16.5546875" style="207" customWidth="1"/>
    <col min="12040" max="12042" width="21.33203125" style="207" customWidth="1"/>
    <col min="12043" max="12288" width="9.109375" style="207"/>
    <col min="12289" max="12289" width="42" style="207" customWidth="1"/>
    <col min="12290" max="12290" width="21.6640625" style="207" customWidth="1"/>
    <col min="12291" max="12291" width="16.5546875" style="207" customWidth="1"/>
    <col min="12292" max="12292" width="22.5546875" style="207" bestFit="1" customWidth="1"/>
    <col min="12293" max="12293" width="16.5546875" style="207" customWidth="1"/>
    <col min="12294" max="12294" width="21.33203125" style="207" customWidth="1"/>
    <col min="12295" max="12295" width="16.5546875" style="207" customWidth="1"/>
    <col min="12296" max="12298" width="21.33203125" style="207" customWidth="1"/>
    <col min="12299" max="12544" width="9.109375" style="207"/>
    <col min="12545" max="12545" width="42" style="207" customWidth="1"/>
    <col min="12546" max="12546" width="21.6640625" style="207" customWidth="1"/>
    <col min="12547" max="12547" width="16.5546875" style="207" customWidth="1"/>
    <col min="12548" max="12548" width="22.5546875" style="207" bestFit="1" customWidth="1"/>
    <col min="12549" max="12549" width="16.5546875" style="207" customWidth="1"/>
    <col min="12550" max="12550" width="21.33203125" style="207" customWidth="1"/>
    <col min="12551" max="12551" width="16.5546875" style="207" customWidth="1"/>
    <col min="12552" max="12554" width="21.33203125" style="207" customWidth="1"/>
    <col min="12555" max="12800" width="9.109375" style="207"/>
    <col min="12801" max="12801" width="42" style="207" customWidth="1"/>
    <col min="12802" max="12802" width="21.6640625" style="207" customWidth="1"/>
    <col min="12803" max="12803" width="16.5546875" style="207" customWidth="1"/>
    <col min="12804" max="12804" width="22.5546875" style="207" bestFit="1" customWidth="1"/>
    <col min="12805" max="12805" width="16.5546875" style="207" customWidth="1"/>
    <col min="12806" max="12806" width="21.33203125" style="207" customWidth="1"/>
    <col min="12807" max="12807" width="16.5546875" style="207" customWidth="1"/>
    <col min="12808" max="12810" width="21.33203125" style="207" customWidth="1"/>
    <col min="12811" max="13056" width="9.109375" style="207"/>
    <col min="13057" max="13057" width="42" style="207" customWidth="1"/>
    <col min="13058" max="13058" width="21.6640625" style="207" customWidth="1"/>
    <col min="13059" max="13059" width="16.5546875" style="207" customWidth="1"/>
    <col min="13060" max="13060" width="22.5546875" style="207" bestFit="1" customWidth="1"/>
    <col min="13061" max="13061" width="16.5546875" style="207" customWidth="1"/>
    <col min="13062" max="13062" width="21.33203125" style="207" customWidth="1"/>
    <col min="13063" max="13063" width="16.5546875" style="207" customWidth="1"/>
    <col min="13064" max="13066" width="21.33203125" style="207" customWidth="1"/>
    <col min="13067" max="13312" width="9.109375" style="207"/>
    <col min="13313" max="13313" width="42" style="207" customWidth="1"/>
    <col min="13314" max="13314" width="21.6640625" style="207" customWidth="1"/>
    <col min="13315" max="13315" width="16.5546875" style="207" customWidth="1"/>
    <col min="13316" max="13316" width="22.5546875" style="207" bestFit="1" customWidth="1"/>
    <col min="13317" max="13317" width="16.5546875" style="207" customWidth="1"/>
    <col min="13318" max="13318" width="21.33203125" style="207" customWidth="1"/>
    <col min="13319" max="13319" width="16.5546875" style="207" customWidth="1"/>
    <col min="13320" max="13322" width="21.33203125" style="207" customWidth="1"/>
    <col min="13323" max="13568" width="9.109375" style="207"/>
    <col min="13569" max="13569" width="42" style="207" customWidth="1"/>
    <col min="13570" max="13570" width="21.6640625" style="207" customWidth="1"/>
    <col min="13571" max="13571" width="16.5546875" style="207" customWidth="1"/>
    <col min="13572" max="13572" width="22.5546875" style="207" bestFit="1" customWidth="1"/>
    <col min="13573" max="13573" width="16.5546875" style="207" customWidth="1"/>
    <col min="13574" max="13574" width="21.33203125" style="207" customWidth="1"/>
    <col min="13575" max="13575" width="16.5546875" style="207" customWidth="1"/>
    <col min="13576" max="13578" width="21.33203125" style="207" customWidth="1"/>
    <col min="13579" max="13824" width="9.109375" style="207"/>
    <col min="13825" max="13825" width="42" style="207" customWidth="1"/>
    <col min="13826" max="13826" width="21.6640625" style="207" customWidth="1"/>
    <col min="13827" max="13827" width="16.5546875" style="207" customWidth="1"/>
    <col min="13828" max="13828" width="22.5546875" style="207" bestFit="1" customWidth="1"/>
    <col min="13829" max="13829" width="16.5546875" style="207" customWidth="1"/>
    <col min="13830" max="13830" width="21.33203125" style="207" customWidth="1"/>
    <col min="13831" max="13831" width="16.5546875" style="207" customWidth="1"/>
    <col min="13832" max="13834" width="21.33203125" style="207" customWidth="1"/>
    <col min="13835" max="14080" width="9.109375" style="207"/>
    <col min="14081" max="14081" width="42" style="207" customWidth="1"/>
    <col min="14082" max="14082" width="21.6640625" style="207" customWidth="1"/>
    <col min="14083" max="14083" width="16.5546875" style="207" customWidth="1"/>
    <col min="14084" max="14084" width="22.5546875" style="207" bestFit="1" customWidth="1"/>
    <col min="14085" max="14085" width="16.5546875" style="207" customWidth="1"/>
    <col min="14086" max="14086" width="21.33203125" style="207" customWidth="1"/>
    <col min="14087" max="14087" width="16.5546875" style="207" customWidth="1"/>
    <col min="14088" max="14090" width="21.33203125" style="207" customWidth="1"/>
    <col min="14091" max="14336" width="9.109375" style="207"/>
    <col min="14337" max="14337" width="42" style="207" customWidth="1"/>
    <col min="14338" max="14338" width="21.6640625" style="207" customWidth="1"/>
    <col min="14339" max="14339" width="16.5546875" style="207" customWidth="1"/>
    <col min="14340" max="14340" width="22.5546875" style="207" bestFit="1" customWidth="1"/>
    <col min="14341" max="14341" width="16.5546875" style="207" customWidth="1"/>
    <col min="14342" max="14342" width="21.33203125" style="207" customWidth="1"/>
    <col min="14343" max="14343" width="16.5546875" style="207" customWidth="1"/>
    <col min="14344" max="14346" width="21.33203125" style="207" customWidth="1"/>
    <col min="14347" max="14592" width="9.109375" style="207"/>
    <col min="14593" max="14593" width="42" style="207" customWidth="1"/>
    <col min="14594" max="14594" width="21.6640625" style="207" customWidth="1"/>
    <col min="14595" max="14595" width="16.5546875" style="207" customWidth="1"/>
    <col min="14596" max="14596" width="22.5546875" style="207" bestFit="1" customWidth="1"/>
    <col min="14597" max="14597" width="16.5546875" style="207" customWidth="1"/>
    <col min="14598" max="14598" width="21.33203125" style="207" customWidth="1"/>
    <col min="14599" max="14599" width="16.5546875" style="207" customWidth="1"/>
    <col min="14600" max="14602" width="21.33203125" style="207" customWidth="1"/>
    <col min="14603" max="14848" width="9.109375" style="207"/>
    <col min="14849" max="14849" width="42" style="207" customWidth="1"/>
    <col min="14850" max="14850" width="21.6640625" style="207" customWidth="1"/>
    <col min="14851" max="14851" width="16.5546875" style="207" customWidth="1"/>
    <col min="14852" max="14852" width="22.5546875" style="207" bestFit="1" customWidth="1"/>
    <col min="14853" max="14853" width="16.5546875" style="207" customWidth="1"/>
    <col min="14854" max="14854" width="21.33203125" style="207" customWidth="1"/>
    <col min="14855" max="14855" width="16.5546875" style="207" customWidth="1"/>
    <col min="14856" max="14858" width="21.33203125" style="207" customWidth="1"/>
    <col min="14859" max="15104" width="9.109375" style="207"/>
    <col min="15105" max="15105" width="42" style="207" customWidth="1"/>
    <col min="15106" max="15106" width="21.6640625" style="207" customWidth="1"/>
    <col min="15107" max="15107" width="16.5546875" style="207" customWidth="1"/>
    <col min="15108" max="15108" width="22.5546875" style="207" bestFit="1" customWidth="1"/>
    <col min="15109" max="15109" width="16.5546875" style="207" customWidth="1"/>
    <col min="15110" max="15110" width="21.33203125" style="207" customWidth="1"/>
    <col min="15111" max="15111" width="16.5546875" style="207" customWidth="1"/>
    <col min="15112" max="15114" width="21.33203125" style="207" customWidth="1"/>
    <col min="15115" max="15360" width="9.109375" style="207"/>
    <col min="15361" max="15361" width="42" style="207" customWidth="1"/>
    <col min="15362" max="15362" width="21.6640625" style="207" customWidth="1"/>
    <col min="15363" max="15363" width="16.5546875" style="207" customWidth="1"/>
    <col min="15364" max="15364" width="22.5546875" style="207" bestFit="1" customWidth="1"/>
    <col min="15365" max="15365" width="16.5546875" style="207" customWidth="1"/>
    <col min="15366" max="15366" width="21.33203125" style="207" customWidth="1"/>
    <col min="15367" max="15367" width="16.5546875" style="207" customWidth="1"/>
    <col min="15368" max="15370" width="21.33203125" style="207" customWidth="1"/>
    <col min="15371" max="15616" width="9.109375" style="207"/>
    <col min="15617" max="15617" width="42" style="207" customWidth="1"/>
    <col min="15618" max="15618" width="21.6640625" style="207" customWidth="1"/>
    <col min="15619" max="15619" width="16.5546875" style="207" customWidth="1"/>
    <col min="15620" max="15620" width="22.5546875" style="207" bestFit="1" customWidth="1"/>
    <col min="15621" max="15621" width="16.5546875" style="207" customWidth="1"/>
    <col min="15622" max="15622" width="21.33203125" style="207" customWidth="1"/>
    <col min="15623" max="15623" width="16.5546875" style="207" customWidth="1"/>
    <col min="15624" max="15626" width="21.33203125" style="207" customWidth="1"/>
    <col min="15627" max="15872" width="9.109375" style="207"/>
    <col min="15873" max="15873" width="42" style="207" customWidth="1"/>
    <col min="15874" max="15874" width="21.6640625" style="207" customWidth="1"/>
    <col min="15875" max="15875" width="16.5546875" style="207" customWidth="1"/>
    <col min="15876" max="15876" width="22.5546875" style="207" bestFit="1" customWidth="1"/>
    <col min="15877" max="15877" width="16.5546875" style="207" customWidth="1"/>
    <col min="15878" max="15878" width="21.33203125" style="207" customWidth="1"/>
    <col min="15879" max="15879" width="16.5546875" style="207" customWidth="1"/>
    <col min="15880" max="15882" width="21.33203125" style="207" customWidth="1"/>
    <col min="15883" max="16128" width="9.109375" style="207"/>
    <col min="16129" max="16129" width="42" style="207" customWidth="1"/>
    <col min="16130" max="16130" width="21.6640625" style="207" customWidth="1"/>
    <col min="16131" max="16131" width="16.5546875" style="207" customWidth="1"/>
    <col min="16132" max="16132" width="22.5546875" style="207" bestFit="1" customWidth="1"/>
    <col min="16133" max="16133" width="16.5546875" style="207" customWidth="1"/>
    <col min="16134" max="16134" width="21.33203125" style="207" customWidth="1"/>
    <col min="16135" max="16135" width="16.5546875" style="207" customWidth="1"/>
    <col min="16136" max="16138" width="21.33203125" style="207" customWidth="1"/>
    <col min="16139" max="16384" width="9.109375" style="207"/>
  </cols>
  <sheetData>
    <row r="1" spans="1:12" ht="15.6">
      <c r="A1" s="205"/>
      <c r="B1" s="205"/>
      <c r="C1" s="205"/>
      <c r="D1" s="205"/>
      <c r="E1" s="205"/>
      <c r="F1" s="205"/>
      <c r="G1" s="205"/>
      <c r="H1" s="284" t="s">
        <v>669</v>
      </c>
      <c r="I1" s="284"/>
      <c r="J1" s="284"/>
      <c r="K1" s="205"/>
      <c r="L1" s="206"/>
    </row>
    <row r="2" spans="1:12" ht="15.6">
      <c r="A2" s="205"/>
      <c r="B2" s="205"/>
      <c r="C2" s="205"/>
      <c r="D2" s="205"/>
      <c r="E2" s="205"/>
      <c r="F2" s="205"/>
      <c r="G2" s="205"/>
      <c r="H2" s="284" t="s">
        <v>3</v>
      </c>
      <c r="I2" s="284"/>
      <c r="J2" s="284"/>
      <c r="K2" s="205"/>
      <c r="L2" s="206"/>
    </row>
    <row r="3" spans="1:12" ht="15.6">
      <c r="A3" s="205"/>
      <c r="B3" s="205"/>
      <c r="C3" s="205"/>
      <c r="D3" s="205"/>
      <c r="E3" s="205"/>
      <c r="F3" s="205"/>
      <c r="G3" s="205"/>
      <c r="H3" s="284" t="s">
        <v>486</v>
      </c>
      <c r="I3" s="284"/>
      <c r="J3" s="284"/>
      <c r="K3" s="205"/>
      <c r="L3" s="206"/>
    </row>
    <row r="4" spans="1:12" ht="15.6">
      <c r="A4" s="205"/>
      <c r="B4" s="205"/>
      <c r="C4" s="205"/>
      <c r="D4" s="205"/>
      <c r="E4" s="205"/>
      <c r="F4" s="205"/>
      <c r="G4" s="205"/>
      <c r="H4" s="284" t="s">
        <v>487</v>
      </c>
      <c r="I4" s="284"/>
      <c r="J4" s="284"/>
      <c r="K4" s="205"/>
      <c r="L4" s="206"/>
    </row>
    <row r="5" spans="1:12" ht="15.6">
      <c r="A5" s="205"/>
      <c r="B5" s="205"/>
      <c r="C5" s="205"/>
      <c r="D5" s="205"/>
      <c r="E5" s="205"/>
      <c r="F5" s="205"/>
      <c r="G5" s="205"/>
      <c r="H5" s="284" t="s">
        <v>488</v>
      </c>
      <c r="I5" s="284"/>
      <c r="J5" s="284"/>
      <c r="K5" s="205"/>
      <c r="L5" s="206"/>
    </row>
    <row r="6" spans="1:12" ht="15.6">
      <c r="A6" s="205"/>
      <c r="B6" s="205"/>
      <c r="C6" s="205"/>
      <c r="D6" s="205"/>
      <c r="E6" s="205"/>
      <c r="F6" s="205"/>
      <c r="G6" s="205"/>
      <c r="H6" s="284" t="s">
        <v>489</v>
      </c>
      <c r="I6" s="284"/>
      <c r="J6" s="284"/>
      <c r="K6" s="205"/>
      <c r="L6" s="206"/>
    </row>
    <row r="7" spans="1:12" s="206" customFormat="1" ht="15.6">
      <c r="A7" s="205"/>
      <c r="B7" s="205"/>
      <c r="C7" s="205"/>
      <c r="D7" s="205"/>
      <c r="E7" s="205"/>
      <c r="F7" s="205"/>
      <c r="G7" s="205"/>
      <c r="H7" s="284"/>
      <c r="I7" s="284"/>
      <c r="J7" s="284"/>
      <c r="K7" s="205"/>
    </row>
    <row r="8" spans="1:12" ht="15.6">
      <c r="A8" s="205"/>
      <c r="B8" s="205"/>
      <c r="C8" s="205"/>
      <c r="D8" s="205"/>
      <c r="E8" s="205"/>
      <c r="F8" s="205"/>
      <c r="G8" s="205"/>
      <c r="H8" s="284"/>
      <c r="I8" s="284"/>
      <c r="J8" s="284"/>
      <c r="K8" s="205"/>
      <c r="L8" s="206"/>
    </row>
    <row r="9" spans="1:12" ht="17.399999999999999">
      <c r="A9" s="288" t="s">
        <v>667</v>
      </c>
      <c r="B9" s="288"/>
      <c r="C9" s="288"/>
      <c r="D9" s="288"/>
      <c r="E9" s="288"/>
      <c r="F9" s="288"/>
      <c r="G9" s="288"/>
      <c r="H9" s="288"/>
      <c r="I9" s="288"/>
      <c r="J9" s="288"/>
      <c r="K9" s="205"/>
      <c r="L9" s="206"/>
    </row>
    <row r="10" spans="1:12" ht="20.25" customHeight="1">
      <c r="A10" s="208"/>
      <c r="B10" s="208"/>
      <c r="C10" s="208"/>
      <c r="D10" s="208"/>
      <c r="E10" s="208"/>
      <c r="F10" s="208"/>
      <c r="G10" s="208"/>
      <c r="H10" s="208"/>
      <c r="I10" s="208"/>
      <c r="J10" s="208"/>
      <c r="K10" s="209"/>
      <c r="L10" s="206"/>
    </row>
    <row r="11" spans="1:12" ht="15.6">
      <c r="A11" s="284" t="s">
        <v>629</v>
      </c>
      <c r="B11" s="284"/>
      <c r="C11" s="284"/>
      <c r="D11" s="284"/>
      <c r="E11" s="284"/>
      <c r="F11" s="284"/>
      <c r="G11" s="284"/>
      <c r="H11" s="284"/>
      <c r="I11" s="284"/>
      <c r="J11" s="284"/>
      <c r="K11" s="209"/>
      <c r="L11" s="206"/>
    </row>
    <row r="12" spans="1:12" ht="10.5" customHeight="1">
      <c r="A12" s="208"/>
      <c r="B12" s="208"/>
      <c r="C12" s="208"/>
      <c r="D12" s="208"/>
      <c r="E12" s="208"/>
      <c r="F12" s="208"/>
      <c r="G12" s="208"/>
      <c r="H12" s="208"/>
      <c r="I12" s="208"/>
      <c r="J12" s="208"/>
      <c r="K12" s="209"/>
      <c r="L12" s="206"/>
    </row>
    <row r="13" spans="1:12" ht="15.6">
      <c r="A13" s="210"/>
      <c r="B13" s="205"/>
      <c r="C13" s="205"/>
      <c r="D13" s="205"/>
      <c r="E13" s="205"/>
      <c r="F13" s="205"/>
      <c r="G13" s="205"/>
      <c r="H13" s="211"/>
      <c r="I13" s="211"/>
      <c r="J13" s="211" t="s">
        <v>2</v>
      </c>
      <c r="K13" s="206"/>
      <c r="L13" s="206"/>
    </row>
    <row r="14" spans="1:12" ht="57.75" customHeight="1">
      <c r="A14" s="285" t="s">
        <v>630</v>
      </c>
      <c r="B14" s="285" t="s">
        <v>668</v>
      </c>
      <c r="C14" s="285"/>
      <c r="D14" s="285"/>
      <c r="E14" s="285"/>
      <c r="F14" s="285"/>
      <c r="G14" s="285"/>
      <c r="H14" s="285" t="s">
        <v>631</v>
      </c>
      <c r="I14" s="285"/>
      <c r="J14" s="285"/>
      <c r="K14" s="206"/>
      <c r="L14" s="206"/>
    </row>
    <row r="15" spans="1:12" ht="95.25" customHeight="1">
      <c r="A15" s="285"/>
      <c r="B15" s="286" t="s">
        <v>491</v>
      </c>
      <c r="C15" s="287"/>
      <c r="D15" s="286" t="s">
        <v>490</v>
      </c>
      <c r="E15" s="287"/>
      <c r="F15" s="286" t="s">
        <v>492</v>
      </c>
      <c r="G15" s="287"/>
      <c r="H15" s="281" t="s">
        <v>491</v>
      </c>
      <c r="I15" s="281" t="s">
        <v>490</v>
      </c>
      <c r="J15" s="281" t="s">
        <v>492</v>
      </c>
      <c r="K15" s="206"/>
      <c r="L15" s="206"/>
    </row>
    <row r="16" spans="1:12" ht="87.75" customHeight="1">
      <c r="A16" s="285"/>
      <c r="B16" s="212" t="s">
        <v>632</v>
      </c>
      <c r="C16" s="212" t="s">
        <v>633</v>
      </c>
      <c r="D16" s="212" t="s">
        <v>632</v>
      </c>
      <c r="E16" s="212" t="s">
        <v>633</v>
      </c>
      <c r="F16" s="212" t="s">
        <v>632</v>
      </c>
      <c r="G16" s="212" t="s">
        <v>633</v>
      </c>
      <c r="H16" s="282"/>
      <c r="I16" s="282"/>
      <c r="J16" s="282"/>
      <c r="K16" s="206"/>
      <c r="L16" s="206"/>
    </row>
    <row r="17" spans="1:12" ht="31.2">
      <c r="A17" s="213" t="s">
        <v>634</v>
      </c>
      <c r="B17" s="214">
        <v>0</v>
      </c>
      <c r="C17" s="215" t="s">
        <v>635</v>
      </c>
      <c r="D17" s="214">
        <v>0</v>
      </c>
      <c r="E17" s="215" t="s">
        <v>635</v>
      </c>
      <c r="F17" s="214">
        <v>0</v>
      </c>
      <c r="G17" s="215" t="s">
        <v>635</v>
      </c>
      <c r="H17" s="215">
        <v>0</v>
      </c>
      <c r="I17" s="214">
        <v>0</v>
      </c>
      <c r="J17" s="214">
        <v>0</v>
      </c>
      <c r="K17" s="206"/>
      <c r="L17" s="206"/>
    </row>
    <row r="18" spans="1:12" ht="46.8">
      <c r="A18" s="213" t="s">
        <v>636</v>
      </c>
      <c r="B18" s="216">
        <v>0</v>
      </c>
      <c r="C18" s="217" t="s">
        <v>635</v>
      </c>
      <c r="D18" s="215">
        <v>0</v>
      </c>
      <c r="E18" s="215"/>
      <c r="F18" s="215">
        <v>0</v>
      </c>
      <c r="G18" s="215"/>
      <c r="H18" s="216">
        <v>0</v>
      </c>
      <c r="I18" s="216">
        <v>0</v>
      </c>
      <c r="J18" s="216">
        <v>0</v>
      </c>
      <c r="K18" s="206"/>
      <c r="L18" s="206"/>
    </row>
    <row r="19" spans="1:12" ht="15.6">
      <c r="A19" s="218" t="s">
        <v>637</v>
      </c>
      <c r="B19" s="216">
        <f>SUM(B17:B18)</f>
        <v>0</v>
      </c>
      <c r="C19" s="216"/>
      <c r="D19" s="216">
        <f t="shared" ref="D19:J19" si="0">SUM(D17:D18)</f>
        <v>0</v>
      </c>
      <c r="E19" s="216"/>
      <c r="F19" s="216">
        <f t="shared" si="0"/>
        <v>0</v>
      </c>
      <c r="G19" s="216"/>
      <c r="H19" s="216">
        <f t="shared" si="0"/>
        <v>0</v>
      </c>
      <c r="I19" s="216">
        <f t="shared" si="0"/>
        <v>0</v>
      </c>
      <c r="J19" s="216">
        <f t="shared" si="0"/>
        <v>0</v>
      </c>
      <c r="K19" s="206"/>
      <c r="L19" s="206"/>
    </row>
    <row r="20" spans="1:12" ht="17.399999999999999">
      <c r="A20" s="219"/>
      <c r="B20" s="206"/>
      <c r="C20" s="206"/>
      <c r="D20" s="206"/>
      <c r="E20" s="206"/>
      <c r="F20" s="206"/>
      <c r="G20" s="206"/>
      <c r="H20" s="206"/>
      <c r="I20" s="220"/>
      <c r="J20" s="220"/>
      <c r="K20" s="206"/>
      <c r="L20" s="206"/>
    </row>
    <row r="21" spans="1:12" ht="17.399999999999999">
      <c r="A21" s="283"/>
      <c r="B21" s="283"/>
      <c r="C21" s="206"/>
      <c r="D21" s="206"/>
      <c r="E21" s="206"/>
      <c r="F21" s="206"/>
      <c r="G21" s="206"/>
      <c r="H21" s="220"/>
      <c r="I21" s="220"/>
      <c r="J21" s="220"/>
      <c r="K21" s="206"/>
      <c r="L21" s="206"/>
    </row>
    <row r="22" spans="1:12" ht="15.6">
      <c r="A22" s="284" t="s">
        <v>638</v>
      </c>
      <c r="B22" s="284"/>
      <c r="C22" s="284"/>
      <c r="D22" s="284"/>
      <c r="E22" s="284"/>
      <c r="F22" s="284"/>
      <c r="G22" s="284"/>
      <c r="H22" s="284"/>
      <c r="I22" s="284"/>
      <c r="J22" s="284"/>
      <c r="K22" s="206"/>
      <c r="L22" s="206"/>
    </row>
    <row r="23" spans="1:12" ht="15.6">
      <c r="J23" s="211" t="s">
        <v>2</v>
      </c>
    </row>
    <row r="24" spans="1:12" ht="50.25" customHeight="1">
      <c r="A24" s="285" t="s">
        <v>630</v>
      </c>
      <c r="B24" s="285" t="s">
        <v>668</v>
      </c>
      <c r="C24" s="285"/>
      <c r="D24" s="285"/>
      <c r="E24" s="285"/>
      <c r="F24" s="285"/>
      <c r="G24" s="285"/>
      <c r="H24" s="285" t="s">
        <v>631</v>
      </c>
      <c r="I24" s="285"/>
      <c r="J24" s="285"/>
    </row>
    <row r="25" spans="1:12" ht="96.75" customHeight="1">
      <c r="A25" s="285"/>
      <c r="B25" s="286" t="s">
        <v>491</v>
      </c>
      <c r="C25" s="287"/>
      <c r="D25" s="286" t="s">
        <v>490</v>
      </c>
      <c r="E25" s="287"/>
      <c r="F25" s="286" t="s">
        <v>492</v>
      </c>
      <c r="G25" s="287"/>
      <c r="H25" s="281" t="s">
        <v>491</v>
      </c>
      <c r="I25" s="281" t="s">
        <v>490</v>
      </c>
      <c r="J25" s="281" t="s">
        <v>492</v>
      </c>
    </row>
    <row r="26" spans="1:12" ht="84.75" customHeight="1">
      <c r="A26" s="285"/>
      <c r="B26" s="212" t="s">
        <v>632</v>
      </c>
      <c r="C26" s="212" t="s">
        <v>633</v>
      </c>
      <c r="D26" s="212" t="s">
        <v>632</v>
      </c>
      <c r="E26" s="212" t="s">
        <v>633</v>
      </c>
      <c r="F26" s="212" t="s">
        <v>632</v>
      </c>
      <c r="G26" s="212" t="s">
        <v>633</v>
      </c>
      <c r="H26" s="282"/>
      <c r="I26" s="282"/>
      <c r="J26" s="282"/>
    </row>
    <row r="27" spans="1:12" ht="62.4">
      <c r="A27" s="213" t="s">
        <v>639</v>
      </c>
      <c r="B27" s="214">
        <v>0</v>
      </c>
      <c r="C27" s="215" t="s">
        <v>635</v>
      </c>
      <c r="D27" s="214">
        <v>0</v>
      </c>
      <c r="E27" s="215" t="s">
        <v>635</v>
      </c>
      <c r="F27" s="214">
        <v>0</v>
      </c>
      <c r="G27" s="215" t="s">
        <v>635</v>
      </c>
      <c r="H27" s="215">
        <v>0</v>
      </c>
      <c r="I27" s="214">
        <v>0</v>
      </c>
      <c r="J27" s="214">
        <v>0</v>
      </c>
    </row>
    <row r="28" spans="1:12" ht="15.6">
      <c r="A28" s="218" t="s">
        <v>637</v>
      </c>
      <c r="B28" s="216">
        <f>SUM(B27:B27)</f>
        <v>0</v>
      </c>
      <c r="C28" s="216"/>
      <c r="D28" s="216">
        <f>SUM(D27:D27)</f>
        <v>0</v>
      </c>
      <c r="E28" s="216"/>
      <c r="F28" s="216">
        <f>SUM(F27:F27)</f>
        <v>0</v>
      </c>
      <c r="G28" s="216"/>
      <c r="H28" s="216">
        <f>SUM(H27:H27)</f>
        <v>0</v>
      </c>
      <c r="I28" s="216">
        <f>SUM(I27:I27)</f>
        <v>0</v>
      </c>
      <c r="J28" s="216">
        <f>SUM(J27:J27)</f>
        <v>0</v>
      </c>
    </row>
  </sheetData>
  <sheetProtection formatCells="0" formatColumns="0" formatRows="0" deleteColumns="0" deleteRows="0"/>
  <mergeCells count="30">
    <mergeCell ref="A9:J9"/>
    <mergeCell ref="A11:J11"/>
    <mergeCell ref="H7:J7"/>
    <mergeCell ref="H8:J8"/>
    <mergeCell ref="H1:J1"/>
    <mergeCell ref="H2:J2"/>
    <mergeCell ref="H3:J3"/>
    <mergeCell ref="H4:J4"/>
    <mergeCell ref="H5:J5"/>
    <mergeCell ref="H6:J6"/>
    <mergeCell ref="A14:A16"/>
    <mergeCell ref="B14:G14"/>
    <mergeCell ref="H14:J14"/>
    <mergeCell ref="B15:C15"/>
    <mergeCell ref="D15:E15"/>
    <mergeCell ref="F15:G15"/>
    <mergeCell ref="H15:H16"/>
    <mergeCell ref="I15:I16"/>
    <mergeCell ref="J15:J16"/>
    <mergeCell ref="J25:J26"/>
    <mergeCell ref="A21:B21"/>
    <mergeCell ref="A22:J22"/>
    <mergeCell ref="A24:A26"/>
    <mergeCell ref="B24:G24"/>
    <mergeCell ref="H24:J24"/>
    <mergeCell ref="B25:C25"/>
    <mergeCell ref="D25:E25"/>
    <mergeCell ref="F25:G25"/>
    <mergeCell ref="H25:H26"/>
    <mergeCell ref="I25:I26"/>
  </mergeCells>
  <printOptions horizontalCentered="1"/>
  <pageMargins left="0.78740157480314965" right="0.19685039370078741" top="0.39370078740157483" bottom="0.39370078740157483" header="0.51181102362204722" footer="0.11811023622047245"/>
  <pageSetup paperSize="9" scale="63" fitToHeight="2" orientation="landscape" r:id="rId1"/>
  <rowBreaks count="1" manualBreakCount="1">
    <brk id="2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1"/>
  </sheetPr>
  <dimension ref="A1:F78"/>
  <sheetViews>
    <sheetView view="pageBreakPreview" topLeftCell="A70" zoomScaleNormal="80" zoomScaleSheetLayoutView="100" workbookViewId="0">
      <selection activeCell="D78" sqref="D78"/>
    </sheetView>
  </sheetViews>
  <sheetFormatPr defaultColWidth="31" defaultRowHeight="15.6"/>
  <cols>
    <col min="1" max="1" width="28.33203125" style="104" customWidth="1"/>
    <col min="2" max="2" width="47.5546875" style="94" customWidth="1"/>
    <col min="3" max="3" width="20.5546875" style="95" customWidth="1"/>
    <col min="4" max="4" width="19.33203125" style="93" customWidth="1"/>
    <col min="5" max="5" width="20" style="93" customWidth="1"/>
    <col min="6" max="6" width="16.88671875" style="105" customWidth="1"/>
    <col min="7" max="16384" width="31" style="93"/>
  </cols>
  <sheetData>
    <row r="1" spans="1:6">
      <c r="A1" s="92"/>
      <c r="B1" s="72"/>
      <c r="C1" s="244" t="s">
        <v>418</v>
      </c>
      <c r="D1" s="244"/>
      <c r="E1" s="244"/>
    </row>
    <row r="2" spans="1:6">
      <c r="A2" s="92"/>
      <c r="B2" s="72"/>
      <c r="C2" s="244" t="s">
        <v>3</v>
      </c>
      <c r="D2" s="244"/>
      <c r="E2" s="244"/>
    </row>
    <row r="3" spans="1:6">
      <c r="A3" s="92"/>
      <c r="B3" s="72"/>
      <c r="C3" s="244" t="s">
        <v>486</v>
      </c>
      <c r="D3" s="244"/>
      <c r="E3" s="244"/>
    </row>
    <row r="4" spans="1:6">
      <c r="A4" s="92"/>
      <c r="B4" s="72"/>
      <c r="C4" s="244" t="s">
        <v>487</v>
      </c>
      <c r="D4" s="244"/>
      <c r="E4" s="244"/>
    </row>
    <row r="5" spans="1:6">
      <c r="A5" s="92"/>
      <c r="B5" s="72"/>
      <c r="C5" s="244" t="s">
        <v>488</v>
      </c>
      <c r="D5" s="244"/>
      <c r="E5" s="244"/>
    </row>
    <row r="6" spans="1:6">
      <c r="A6" s="92"/>
      <c r="B6" s="72"/>
      <c r="C6" s="244" t="s">
        <v>489</v>
      </c>
      <c r="D6" s="244"/>
      <c r="E6" s="244"/>
    </row>
    <row r="7" spans="1:6">
      <c r="A7" s="92"/>
      <c r="B7" s="72"/>
      <c r="C7" s="72"/>
    </row>
    <row r="8" spans="1:6" ht="59.25" customHeight="1">
      <c r="A8" s="245" t="s">
        <v>529</v>
      </c>
      <c r="B8" s="245"/>
      <c r="C8" s="245"/>
      <c r="D8" s="245"/>
      <c r="E8" s="245"/>
    </row>
    <row r="9" spans="1:6">
      <c r="A9" s="92" t="s">
        <v>1</v>
      </c>
      <c r="B9" s="96"/>
    </row>
    <row r="10" spans="1:6">
      <c r="A10" s="97"/>
      <c r="B10" s="98"/>
      <c r="E10" s="99" t="s">
        <v>2</v>
      </c>
    </row>
    <row r="11" spans="1:6" s="103" customFormat="1" ht="171.6">
      <c r="A11" s="100" t="s">
        <v>0</v>
      </c>
      <c r="B11" s="101" t="s">
        <v>419</v>
      </c>
      <c r="C11" s="102" t="s">
        <v>491</v>
      </c>
      <c r="D11" s="102" t="s">
        <v>490</v>
      </c>
      <c r="E11" s="102" t="s">
        <v>492</v>
      </c>
      <c r="F11" s="106"/>
    </row>
    <row r="12" spans="1:6">
      <c r="A12" s="107" t="s">
        <v>420</v>
      </c>
      <c r="B12" s="108" t="s">
        <v>421</v>
      </c>
      <c r="C12" s="109">
        <f>C13+C19+C21+C29+C33+C42+C46+C55+C61</f>
        <v>134035637.57000001</v>
      </c>
      <c r="D12" s="109">
        <f t="shared" ref="D12:E12" si="0">D13+D19+D21+D29+D33+D42+D46+D55+D61</f>
        <v>134035637.57000001</v>
      </c>
      <c r="E12" s="109">
        <f t="shared" si="0"/>
        <v>143353978.00999999</v>
      </c>
      <c r="F12" s="105">
        <f>E12/D12*100</f>
        <v>106.95213646828327</v>
      </c>
    </row>
    <row r="13" spans="1:6">
      <c r="A13" s="107" t="s">
        <v>422</v>
      </c>
      <c r="B13" s="108" t="s">
        <v>423</v>
      </c>
      <c r="C13" s="109">
        <f>C14</f>
        <v>45614930.680000007</v>
      </c>
      <c r="D13" s="109">
        <f t="shared" ref="D13:E13" si="1">D14</f>
        <v>45614930.680000007</v>
      </c>
      <c r="E13" s="109">
        <f t="shared" si="1"/>
        <v>58109799.590000004</v>
      </c>
      <c r="F13" s="105">
        <f t="shared" ref="F13:F76" si="2">E13/D13*100</f>
        <v>127.39205940628209</v>
      </c>
    </row>
    <row r="14" spans="1:6">
      <c r="A14" s="107" t="s">
        <v>424</v>
      </c>
      <c r="B14" s="108" t="s">
        <v>425</v>
      </c>
      <c r="C14" s="109">
        <f>SUM(C15:C18)</f>
        <v>45614930.680000007</v>
      </c>
      <c r="D14" s="109">
        <f t="shared" ref="D14:E14" si="3">SUM(D15:D18)</f>
        <v>45614930.680000007</v>
      </c>
      <c r="E14" s="109">
        <f t="shared" si="3"/>
        <v>58109799.590000004</v>
      </c>
      <c r="F14" s="105">
        <f t="shared" si="2"/>
        <v>127.39205940628209</v>
      </c>
    </row>
    <row r="15" spans="1:6" ht="93.6">
      <c r="A15" s="107" t="s">
        <v>493</v>
      </c>
      <c r="B15" s="108" t="s">
        <v>494</v>
      </c>
      <c r="C15" s="109">
        <v>45393161.090000004</v>
      </c>
      <c r="D15" s="109">
        <v>45393161.090000004</v>
      </c>
      <c r="E15" s="109">
        <v>57423376.170000002</v>
      </c>
      <c r="F15" s="105">
        <f t="shared" si="2"/>
        <v>126.5022633170401</v>
      </c>
    </row>
    <row r="16" spans="1:6" ht="140.4">
      <c r="A16" s="107" t="s">
        <v>495</v>
      </c>
      <c r="B16" s="108" t="s">
        <v>496</v>
      </c>
      <c r="C16" s="109">
        <v>101412.27</v>
      </c>
      <c r="D16" s="109">
        <v>101412.27</v>
      </c>
      <c r="E16" s="109">
        <v>102594.1</v>
      </c>
      <c r="F16" s="105">
        <f t="shared" si="2"/>
        <v>101.1653718036289</v>
      </c>
    </row>
    <row r="17" spans="1:6" ht="62.4">
      <c r="A17" s="107" t="s">
        <v>497</v>
      </c>
      <c r="B17" s="108" t="s">
        <v>498</v>
      </c>
      <c r="C17" s="109">
        <v>120357.32</v>
      </c>
      <c r="D17" s="109">
        <v>120357.32</v>
      </c>
      <c r="E17" s="109">
        <v>87139.39</v>
      </c>
      <c r="F17" s="105">
        <f t="shared" si="2"/>
        <v>72.400573558799735</v>
      </c>
    </row>
    <row r="18" spans="1:6" ht="187.2">
      <c r="A18" s="107" t="s">
        <v>530</v>
      </c>
      <c r="B18" s="117" t="s">
        <v>531</v>
      </c>
      <c r="C18" s="109">
        <v>0</v>
      </c>
      <c r="D18" s="109">
        <v>0</v>
      </c>
      <c r="E18" s="109">
        <v>496689.93</v>
      </c>
      <c r="F18" s="105" t="e">
        <f t="shared" si="2"/>
        <v>#DIV/0!</v>
      </c>
    </row>
    <row r="19" spans="1:6">
      <c r="A19" s="107" t="s">
        <v>426</v>
      </c>
      <c r="B19" s="108" t="s">
        <v>427</v>
      </c>
      <c r="C19" s="109">
        <f>C20</f>
        <v>21091.5</v>
      </c>
      <c r="D19" s="109">
        <f t="shared" ref="D19:E19" si="4">D20</f>
        <v>21091.5</v>
      </c>
      <c r="E19" s="109">
        <f t="shared" si="4"/>
        <v>10506.5</v>
      </c>
      <c r="F19" s="105">
        <f t="shared" si="2"/>
        <v>49.813906075907354</v>
      </c>
    </row>
    <row r="20" spans="1:6" ht="62.4">
      <c r="A20" s="107" t="s">
        <v>428</v>
      </c>
      <c r="B20" s="108" t="s">
        <v>429</v>
      </c>
      <c r="C20" s="109">
        <v>21091.5</v>
      </c>
      <c r="D20" s="109">
        <v>21091.5</v>
      </c>
      <c r="E20" s="109">
        <v>10506.5</v>
      </c>
      <c r="F20" s="105">
        <f t="shared" si="2"/>
        <v>49.813906075907354</v>
      </c>
    </row>
    <row r="21" spans="1:6">
      <c r="A21" s="107" t="s">
        <v>430</v>
      </c>
      <c r="B21" s="108" t="s">
        <v>431</v>
      </c>
      <c r="C21" s="109">
        <f>C22+C24</f>
        <v>67054540</v>
      </c>
      <c r="D21" s="109">
        <f t="shared" ref="D21:E21" si="5">D22+D24</f>
        <v>67054540</v>
      </c>
      <c r="E21" s="109">
        <f t="shared" si="5"/>
        <v>64640132.009999998</v>
      </c>
      <c r="F21" s="105">
        <f t="shared" si="2"/>
        <v>96.399337032212884</v>
      </c>
    </row>
    <row r="22" spans="1:6">
      <c r="A22" s="110" t="s">
        <v>432</v>
      </c>
      <c r="B22" s="111" t="s">
        <v>433</v>
      </c>
      <c r="C22" s="109">
        <f>C23</f>
        <v>2377940</v>
      </c>
      <c r="D22" s="109">
        <f t="shared" ref="D22:E22" si="6">D23</f>
        <v>2377940</v>
      </c>
      <c r="E22" s="109">
        <f t="shared" si="6"/>
        <v>2708503.01</v>
      </c>
      <c r="F22" s="105">
        <f t="shared" si="2"/>
        <v>113.90123426158776</v>
      </c>
    </row>
    <row r="23" spans="1:6" ht="62.4">
      <c r="A23" s="110" t="s">
        <v>499</v>
      </c>
      <c r="B23" s="111" t="s">
        <v>500</v>
      </c>
      <c r="C23" s="109">
        <v>2377940</v>
      </c>
      <c r="D23" s="109">
        <v>2377940</v>
      </c>
      <c r="E23" s="109">
        <v>2708503.01</v>
      </c>
      <c r="F23" s="105">
        <f t="shared" si="2"/>
        <v>113.90123426158776</v>
      </c>
    </row>
    <row r="24" spans="1:6">
      <c r="A24" s="107" t="s">
        <v>434</v>
      </c>
      <c r="B24" s="108" t="s">
        <v>435</v>
      </c>
      <c r="C24" s="109">
        <f>C25+C27</f>
        <v>64676600</v>
      </c>
      <c r="D24" s="109">
        <f t="shared" ref="D24:E24" si="7">D25+D27</f>
        <v>64676600</v>
      </c>
      <c r="E24" s="109">
        <f t="shared" si="7"/>
        <v>61931629</v>
      </c>
      <c r="F24" s="105">
        <f t="shared" si="2"/>
        <v>95.755851420761147</v>
      </c>
    </row>
    <row r="25" spans="1:6">
      <c r="A25" s="107" t="s">
        <v>532</v>
      </c>
      <c r="B25" s="108" t="s">
        <v>533</v>
      </c>
      <c r="C25" s="109">
        <f>C26</f>
        <v>62331510</v>
      </c>
      <c r="D25" s="109">
        <f t="shared" ref="D25:E25" si="8">D26</f>
        <v>62331510</v>
      </c>
      <c r="E25" s="109">
        <f t="shared" si="8"/>
        <v>59660299.009999998</v>
      </c>
      <c r="F25" s="105">
        <f t="shared" si="2"/>
        <v>95.714509419072314</v>
      </c>
    </row>
    <row r="26" spans="1:6" ht="46.8">
      <c r="A26" s="107" t="s">
        <v>501</v>
      </c>
      <c r="B26" s="108" t="s">
        <v>502</v>
      </c>
      <c r="C26" s="109">
        <v>62331510</v>
      </c>
      <c r="D26" s="109">
        <v>62331510</v>
      </c>
      <c r="E26" s="109">
        <v>59660299.009999998</v>
      </c>
      <c r="F26" s="105">
        <f t="shared" si="2"/>
        <v>95.714509419072314</v>
      </c>
    </row>
    <row r="27" spans="1:6">
      <c r="A27" s="107" t="s">
        <v>503</v>
      </c>
      <c r="B27" s="108" t="s">
        <v>504</v>
      </c>
      <c r="C27" s="109">
        <f>C28</f>
        <v>2345090</v>
      </c>
      <c r="D27" s="109">
        <f t="shared" ref="D27:E27" si="9">D28</f>
        <v>2345090</v>
      </c>
      <c r="E27" s="109">
        <f t="shared" si="9"/>
        <v>2271329.9900000002</v>
      </c>
      <c r="F27" s="105">
        <f t="shared" si="2"/>
        <v>96.854704510274672</v>
      </c>
    </row>
    <row r="28" spans="1:6" ht="62.4">
      <c r="A28" s="107" t="s">
        <v>505</v>
      </c>
      <c r="B28" s="108" t="s">
        <v>534</v>
      </c>
      <c r="C28" s="109">
        <v>2345090</v>
      </c>
      <c r="D28" s="109">
        <v>2345090</v>
      </c>
      <c r="E28" s="109">
        <v>2271329.9900000002</v>
      </c>
      <c r="F28" s="105">
        <f t="shared" si="2"/>
        <v>96.854704510274672</v>
      </c>
    </row>
    <row r="29" spans="1:6" ht="46.8">
      <c r="A29" s="107" t="s">
        <v>469</v>
      </c>
      <c r="B29" s="108" t="s">
        <v>473</v>
      </c>
      <c r="C29" s="109">
        <f>C30</f>
        <v>0</v>
      </c>
      <c r="D29" s="109">
        <f t="shared" ref="D29:E31" si="10">D30</f>
        <v>0</v>
      </c>
      <c r="E29" s="109">
        <f t="shared" si="10"/>
        <v>-5422.69</v>
      </c>
      <c r="F29" s="105" t="e">
        <f t="shared" si="2"/>
        <v>#DIV/0!</v>
      </c>
    </row>
    <row r="30" spans="1:6">
      <c r="A30" s="107" t="s">
        <v>470</v>
      </c>
      <c r="B30" s="108" t="s">
        <v>474</v>
      </c>
      <c r="C30" s="109">
        <f>C31</f>
        <v>0</v>
      </c>
      <c r="D30" s="109">
        <f t="shared" si="10"/>
        <v>0</v>
      </c>
      <c r="E30" s="109">
        <f>E31</f>
        <v>-5422.69</v>
      </c>
      <c r="F30" s="105" t="e">
        <f t="shared" si="2"/>
        <v>#DIV/0!</v>
      </c>
    </row>
    <row r="31" spans="1:6" ht="31.2">
      <c r="A31" s="107" t="s">
        <v>471</v>
      </c>
      <c r="B31" s="108" t="s">
        <v>475</v>
      </c>
      <c r="C31" s="109">
        <f>C32</f>
        <v>0</v>
      </c>
      <c r="D31" s="109">
        <f t="shared" si="10"/>
        <v>0</v>
      </c>
      <c r="E31" s="109">
        <f t="shared" ref="E31" si="11">E32</f>
        <v>-5422.69</v>
      </c>
      <c r="F31" s="105" t="e">
        <f t="shared" si="2"/>
        <v>#DIV/0!</v>
      </c>
    </row>
    <row r="32" spans="1:6" ht="62.4">
      <c r="A32" s="107" t="s">
        <v>472</v>
      </c>
      <c r="B32" s="108" t="s">
        <v>476</v>
      </c>
      <c r="C32" s="109">
        <v>0</v>
      </c>
      <c r="D32" s="109">
        <v>0</v>
      </c>
      <c r="E32" s="109">
        <v>-5422.69</v>
      </c>
      <c r="F32" s="105" t="e">
        <f t="shared" si="2"/>
        <v>#DIV/0!</v>
      </c>
    </row>
    <row r="33" spans="1:6" ht="62.4">
      <c r="A33" s="107" t="s">
        <v>436</v>
      </c>
      <c r="B33" s="108" t="s">
        <v>437</v>
      </c>
      <c r="C33" s="109">
        <f>C34+C39</f>
        <v>18433566.75</v>
      </c>
      <c r="D33" s="109">
        <f t="shared" ref="D33:E33" si="12">D34+D39</f>
        <v>18433566.75</v>
      </c>
      <c r="E33" s="109">
        <f t="shared" si="12"/>
        <v>18231109.290000003</v>
      </c>
      <c r="F33" s="105">
        <f t="shared" si="2"/>
        <v>98.901691339794567</v>
      </c>
    </row>
    <row r="34" spans="1:6" ht="124.8">
      <c r="A34" s="107" t="s">
        <v>438</v>
      </c>
      <c r="B34" s="108" t="s">
        <v>439</v>
      </c>
      <c r="C34" s="109">
        <f>C35+C36</f>
        <v>17614544.600000001</v>
      </c>
      <c r="D34" s="109">
        <f t="shared" ref="D34:E34" si="13">D35+D36</f>
        <v>17614544.600000001</v>
      </c>
      <c r="E34" s="109">
        <f t="shared" si="13"/>
        <v>17411783.420000002</v>
      </c>
      <c r="F34" s="105">
        <f t="shared" si="2"/>
        <v>98.848899108070043</v>
      </c>
    </row>
    <row r="35" spans="1:6" ht="109.2">
      <c r="A35" s="107" t="s">
        <v>506</v>
      </c>
      <c r="B35" s="108" t="s">
        <v>507</v>
      </c>
      <c r="C35" s="109">
        <f>84500+17496557.75</f>
        <v>17581057.75</v>
      </c>
      <c r="D35" s="109">
        <f>84500+17496557.75</f>
        <v>17581057.75</v>
      </c>
      <c r="E35" s="109">
        <f>35378.13+17342918.44</f>
        <v>17378296.57</v>
      </c>
      <c r="F35" s="105">
        <f t="shared" si="2"/>
        <v>98.846706592497256</v>
      </c>
    </row>
    <row r="36" spans="1:6" ht="62.4">
      <c r="A36" s="107" t="s">
        <v>535</v>
      </c>
      <c r="B36" s="108" t="s">
        <v>536</v>
      </c>
      <c r="C36" s="109">
        <f>C37</f>
        <v>33486.85</v>
      </c>
      <c r="D36" s="109">
        <f t="shared" ref="D36:E37" si="14">D37</f>
        <v>33486.85</v>
      </c>
      <c r="E36" s="109">
        <f t="shared" si="14"/>
        <v>33486.85</v>
      </c>
      <c r="F36" s="105">
        <f t="shared" si="2"/>
        <v>100</v>
      </c>
    </row>
    <row r="37" spans="1:6" ht="62.4">
      <c r="A37" s="107" t="s">
        <v>537</v>
      </c>
      <c r="B37" s="108" t="s">
        <v>538</v>
      </c>
      <c r="C37" s="109">
        <f>C38</f>
        <v>33486.85</v>
      </c>
      <c r="D37" s="109">
        <f t="shared" si="14"/>
        <v>33486.85</v>
      </c>
      <c r="E37" s="109">
        <f t="shared" si="14"/>
        <v>33486.85</v>
      </c>
      <c r="F37" s="105">
        <f t="shared" si="2"/>
        <v>100</v>
      </c>
    </row>
    <row r="38" spans="1:6" ht="156">
      <c r="A38" s="107" t="s">
        <v>539</v>
      </c>
      <c r="B38" s="108" t="s">
        <v>540</v>
      </c>
      <c r="C38" s="109">
        <v>33486.85</v>
      </c>
      <c r="D38" s="109">
        <v>33486.85</v>
      </c>
      <c r="E38" s="109">
        <v>33486.85</v>
      </c>
      <c r="F38" s="105">
        <f t="shared" si="2"/>
        <v>100</v>
      </c>
    </row>
    <row r="39" spans="1:6" ht="109.2">
      <c r="A39" s="107" t="s">
        <v>440</v>
      </c>
      <c r="B39" s="108" t="s">
        <v>441</v>
      </c>
      <c r="C39" s="109">
        <f>C40</f>
        <v>819022.15</v>
      </c>
      <c r="D39" s="109">
        <f t="shared" ref="D39:E40" si="15">D40</f>
        <v>819022.15</v>
      </c>
      <c r="E39" s="109">
        <f t="shared" si="15"/>
        <v>819325.87</v>
      </c>
      <c r="F39" s="105">
        <f t="shared" si="2"/>
        <v>100.0370832461613</v>
      </c>
    </row>
    <row r="40" spans="1:6" ht="109.2">
      <c r="A40" s="107" t="s">
        <v>541</v>
      </c>
      <c r="B40" s="108" t="s">
        <v>542</v>
      </c>
      <c r="C40" s="109">
        <f>C41</f>
        <v>819022.15</v>
      </c>
      <c r="D40" s="109">
        <f t="shared" si="15"/>
        <v>819022.15</v>
      </c>
      <c r="E40" s="109">
        <f t="shared" si="15"/>
        <v>819325.87</v>
      </c>
      <c r="F40" s="105">
        <f t="shared" si="2"/>
        <v>100.0370832461613</v>
      </c>
    </row>
    <row r="41" spans="1:6" ht="109.2">
      <c r="A41" s="107" t="s">
        <v>508</v>
      </c>
      <c r="B41" s="108" t="s">
        <v>509</v>
      </c>
      <c r="C41" s="109">
        <v>819022.15</v>
      </c>
      <c r="D41" s="109">
        <v>819022.15</v>
      </c>
      <c r="E41" s="109">
        <v>819325.87</v>
      </c>
      <c r="F41" s="105">
        <f t="shared" si="2"/>
        <v>100.0370832461613</v>
      </c>
    </row>
    <row r="42" spans="1:6" ht="31.2">
      <c r="A42" s="107" t="s">
        <v>479</v>
      </c>
      <c r="B42" s="108" t="s">
        <v>481</v>
      </c>
      <c r="C42" s="109">
        <f>C43</f>
        <v>0</v>
      </c>
      <c r="D42" s="109">
        <f t="shared" ref="D42:E44" si="16">D43</f>
        <v>0</v>
      </c>
      <c r="E42" s="109">
        <f t="shared" si="16"/>
        <v>98904.93</v>
      </c>
      <c r="F42" s="105" t="e">
        <f t="shared" si="2"/>
        <v>#DIV/0!</v>
      </c>
    </row>
    <row r="43" spans="1:6">
      <c r="A43" s="107" t="s">
        <v>480</v>
      </c>
      <c r="B43" s="108" t="s">
        <v>482</v>
      </c>
      <c r="C43" s="109">
        <f>C44</f>
        <v>0</v>
      </c>
      <c r="D43" s="109">
        <f t="shared" si="16"/>
        <v>0</v>
      </c>
      <c r="E43" s="109">
        <f t="shared" si="16"/>
        <v>98904.93</v>
      </c>
      <c r="F43" s="105" t="e">
        <f t="shared" si="2"/>
        <v>#DIV/0!</v>
      </c>
    </row>
    <row r="44" spans="1:6" ht="31.2">
      <c r="A44" s="107" t="s">
        <v>483</v>
      </c>
      <c r="B44" s="108" t="s">
        <v>484</v>
      </c>
      <c r="C44" s="109">
        <f>C45</f>
        <v>0</v>
      </c>
      <c r="D44" s="109">
        <f t="shared" si="16"/>
        <v>0</v>
      </c>
      <c r="E44" s="109">
        <f t="shared" si="16"/>
        <v>98904.93</v>
      </c>
      <c r="F44" s="105" t="e">
        <f t="shared" si="2"/>
        <v>#DIV/0!</v>
      </c>
    </row>
    <row r="45" spans="1:6" ht="31.2">
      <c r="A45" s="107" t="s">
        <v>543</v>
      </c>
      <c r="B45" s="108" t="s">
        <v>544</v>
      </c>
      <c r="C45" s="109">
        <v>0</v>
      </c>
      <c r="D45" s="109">
        <v>0</v>
      </c>
      <c r="E45" s="109">
        <v>98904.93</v>
      </c>
      <c r="F45" s="105" t="e">
        <f t="shared" si="2"/>
        <v>#DIV/0!</v>
      </c>
    </row>
    <row r="46" spans="1:6" ht="31.2">
      <c r="A46" s="107" t="s">
        <v>442</v>
      </c>
      <c r="B46" s="108" t="s">
        <v>443</v>
      </c>
      <c r="C46" s="109">
        <f>C47</f>
        <v>632539.53</v>
      </c>
      <c r="D46" s="109">
        <f t="shared" ref="D46:E46" si="17">D47</f>
        <v>632539.53</v>
      </c>
      <c r="E46" s="109">
        <f t="shared" si="17"/>
        <v>533781.85000000009</v>
      </c>
      <c r="F46" s="105">
        <f t="shared" si="2"/>
        <v>84.387113323968862</v>
      </c>
    </row>
    <row r="47" spans="1:6" ht="46.8">
      <c r="A47" s="107" t="s">
        <v>444</v>
      </c>
      <c r="B47" s="108" t="s">
        <v>445</v>
      </c>
      <c r="C47" s="109">
        <f>C48+C50+C52</f>
        <v>632539.53</v>
      </c>
      <c r="D47" s="109">
        <f t="shared" ref="D47:E47" si="18">D48+D50+D52</f>
        <v>632539.53</v>
      </c>
      <c r="E47" s="109">
        <f t="shared" si="18"/>
        <v>533781.85000000009</v>
      </c>
      <c r="F47" s="105">
        <f t="shared" si="2"/>
        <v>84.387113323968862</v>
      </c>
    </row>
    <row r="48" spans="1:6" ht="46.8">
      <c r="A48" s="107" t="s">
        <v>510</v>
      </c>
      <c r="B48" s="108" t="s">
        <v>511</v>
      </c>
      <c r="C48" s="109">
        <f>C49</f>
        <v>575700</v>
      </c>
      <c r="D48" s="109">
        <f t="shared" ref="D48:E48" si="19">D49</f>
        <v>575700</v>
      </c>
      <c r="E48" s="109">
        <f t="shared" si="19"/>
        <v>419553.53</v>
      </c>
      <c r="F48" s="105">
        <f t="shared" si="2"/>
        <v>72.877111342713221</v>
      </c>
    </row>
    <row r="49" spans="1:6" ht="62.4">
      <c r="A49" s="107" t="s">
        <v>512</v>
      </c>
      <c r="B49" s="108" t="s">
        <v>513</v>
      </c>
      <c r="C49" s="109">
        <v>575700</v>
      </c>
      <c r="D49" s="109">
        <v>575700</v>
      </c>
      <c r="E49" s="109">
        <v>419553.53</v>
      </c>
      <c r="F49" s="105">
        <f t="shared" si="2"/>
        <v>72.877111342713221</v>
      </c>
    </row>
    <row r="50" spans="1:6" ht="78">
      <c r="A50" s="107" t="s">
        <v>545</v>
      </c>
      <c r="B50" s="108" t="s">
        <v>546</v>
      </c>
      <c r="C50" s="109">
        <f>C51</f>
        <v>4839.53</v>
      </c>
      <c r="D50" s="109">
        <f t="shared" ref="D50:E50" si="20">D51</f>
        <v>4839.53</v>
      </c>
      <c r="E50" s="109">
        <f t="shared" si="20"/>
        <v>4839.53</v>
      </c>
      <c r="F50" s="105">
        <f t="shared" si="2"/>
        <v>100</v>
      </c>
    </row>
    <row r="51" spans="1:6" ht="78">
      <c r="A51" s="107" t="s">
        <v>547</v>
      </c>
      <c r="B51" s="108" t="s">
        <v>548</v>
      </c>
      <c r="C51" s="109">
        <v>4839.53</v>
      </c>
      <c r="D51" s="109">
        <v>4839.53</v>
      </c>
      <c r="E51" s="109">
        <v>4839.53</v>
      </c>
      <c r="F51" s="105">
        <f t="shared" si="2"/>
        <v>100</v>
      </c>
    </row>
    <row r="52" spans="1:6" ht="109.2">
      <c r="A52" s="107" t="s">
        <v>514</v>
      </c>
      <c r="B52" s="108" t="s">
        <v>515</v>
      </c>
      <c r="C52" s="109">
        <f>C53</f>
        <v>52000</v>
      </c>
      <c r="D52" s="109">
        <f t="shared" ref="D52:E53" si="21">D53</f>
        <v>52000</v>
      </c>
      <c r="E52" s="109">
        <f t="shared" si="21"/>
        <v>109388.79</v>
      </c>
      <c r="F52" s="105">
        <f t="shared" si="2"/>
        <v>210.36305769230768</v>
      </c>
    </row>
    <row r="53" spans="1:6" ht="109.2">
      <c r="A53" s="107" t="s">
        <v>516</v>
      </c>
      <c r="B53" s="108" t="s">
        <v>517</v>
      </c>
      <c r="C53" s="109">
        <f>C54</f>
        <v>52000</v>
      </c>
      <c r="D53" s="109">
        <f t="shared" si="21"/>
        <v>52000</v>
      </c>
      <c r="E53" s="109">
        <f t="shared" si="21"/>
        <v>109388.79</v>
      </c>
      <c r="F53" s="105">
        <f t="shared" si="2"/>
        <v>210.36305769230768</v>
      </c>
    </row>
    <row r="54" spans="1:6" ht="124.8">
      <c r="A54" s="107" t="s">
        <v>518</v>
      </c>
      <c r="B54" s="108" t="s">
        <v>670</v>
      </c>
      <c r="C54" s="109">
        <v>52000</v>
      </c>
      <c r="D54" s="109">
        <v>52000</v>
      </c>
      <c r="E54" s="109">
        <v>109388.79</v>
      </c>
      <c r="F54" s="105">
        <f t="shared" si="2"/>
        <v>210.36305769230768</v>
      </c>
    </row>
    <row r="55" spans="1:6" ht="31.2">
      <c r="A55" s="112" t="s">
        <v>446</v>
      </c>
      <c r="B55" s="113" t="s">
        <v>447</v>
      </c>
      <c r="C55" s="109">
        <f>C56+C58</f>
        <v>851827.25</v>
      </c>
      <c r="D55" s="109">
        <f t="shared" ref="D55:E55" si="22">D56+D58</f>
        <v>851827.25</v>
      </c>
      <c r="E55" s="109">
        <f t="shared" si="22"/>
        <v>268922.86</v>
      </c>
      <c r="F55" s="105">
        <f t="shared" si="2"/>
        <v>31.570117063054742</v>
      </c>
    </row>
    <row r="56" spans="1:6" ht="46.8">
      <c r="A56" s="112" t="s">
        <v>477</v>
      </c>
      <c r="B56" s="113" t="s">
        <v>478</v>
      </c>
      <c r="C56" s="109">
        <f>C57</f>
        <v>0</v>
      </c>
      <c r="D56" s="109">
        <f t="shared" ref="D56:E56" si="23">D57</f>
        <v>0</v>
      </c>
      <c r="E56" s="109">
        <f t="shared" si="23"/>
        <v>24421.87</v>
      </c>
      <c r="F56" s="105" t="e">
        <f t="shared" si="2"/>
        <v>#DIV/0!</v>
      </c>
    </row>
    <row r="57" spans="1:6" ht="78">
      <c r="A57" s="112" t="s">
        <v>549</v>
      </c>
      <c r="B57" s="113" t="s">
        <v>550</v>
      </c>
      <c r="C57" s="109">
        <v>0</v>
      </c>
      <c r="D57" s="109">
        <v>0</v>
      </c>
      <c r="E57" s="109">
        <v>24421.87</v>
      </c>
      <c r="F57" s="105" t="e">
        <f t="shared" si="2"/>
        <v>#DIV/0!</v>
      </c>
    </row>
    <row r="58" spans="1:6" ht="109.2">
      <c r="A58" s="107" t="s">
        <v>448</v>
      </c>
      <c r="B58" s="108" t="s">
        <v>449</v>
      </c>
      <c r="C58" s="109">
        <f>C59</f>
        <v>851827.25</v>
      </c>
      <c r="D58" s="109">
        <f t="shared" ref="D58:E59" si="24">D59</f>
        <v>851827.25</v>
      </c>
      <c r="E58" s="109">
        <f t="shared" si="24"/>
        <v>244500.99</v>
      </c>
      <c r="F58" s="105">
        <f t="shared" si="2"/>
        <v>28.703119088993688</v>
      </c>
    </row>
    <row r="59" spans="1:6" ht="78">
      <c r="A59" s="107" t="s">
        <v>551</v>
      </c>
      <c r="B59" s="108" t="s">
        <v>550</v>
      </c>
      <c r="C59" s="109">
        <f>C60</f>
        <v>851827.25</v>
      </c>
      <c r="D59" s="109">
        <f t="shared" si="24"/>
        <v>851827.25</v>
      </c>
      <c r="E59" s="109">
        <f t="shared" si="24"/>
        <v>244500.99</v>
      </c>
      <c r="F59" s="105">
        <f t="shared" si="2"/>
        <v>28.703119088993688</v>
      </c>
    </row>
    <row r="60" spans="1:6" ht="109.2">
      <c r="A60" s="107" t="s">
        <v>448</v>
      </c>
      <c r="B60" s="108" t="s">
        <v>449</v>
      </c>
      <c r="C60" s="109">
        <v>851827.25</v>
      </c>
      <c r="D60" s="109">
        <v>851827.25</v>
      </c>
      <c r="E60" s="109">
        <v>244500.99</v>
      </c>
      <c r="F60" s="105">
        <f t="shared" si="2"/>
        <v>28.703119088993688</v>
      </c>
    </row>
    <row r="61" spans="1:6">
      <c r="A61" s="107" t="s">
        <v>450</v>
      </c>
      <c r="B61" s="108" t="s">
        <v>451</v>
      </c>
      <c r="C61" s="109">
        <f>C62</f>
        <v>1427141.86</v>
      </c>
      <c r="D61" s="109">
        <f t="shared" ref="D61:E62" si="25">D62</f>
        <v>1427141.86</v>
      </c>
      <c r="E61" s="109">
        <f t="shared" si="25"/>
        <v>1466243.67</v>
      </c>
      <c r="F61" s="105">
        <f t="shared" si="2"/>
        <v>102.73986848090911</v>
      </c>
    </row>
    <row r="62" spans="1:6">
      <c r="A62" s="107" t="s">
        <v>452</v>
      </c>
      <c r="B62" s="108" t="s">
        <v>453</v>
      </c>
      <c r="C62" s="109">
        <f>C63</f>
        <v>1427141.86</v>
      </c>
      <c r="D62" s="109">
        <f t="shared" si="25"/>
        <v>1427141.86</v>
      </c>
      <c r="E62" s="109">
        <f t="shared" si="25"/>
        <v>1466243.67</v>
      </c>
      <c r="F62" s="105">
        <f t="shared" si="2"/>
        <v>102.73986848090911</v>
      </c>
    </row>
    <row r="63" spans="1:6" ht="31.2">
      <c r="A63" s="107" t="s">
        <v>452</v>
      </c>
      <c r="B63" s="108" t="s">
        <v>519</v>
      </c>
      <c r="C63" s="109">
        <v>1427141.86</v>
      </c>
      <c r="D63" s="109">
        <v>1427141.86</v>
      </c>
      <c r="E63" s="109">
        <v>1466243.67</v>
      </c>
      <c r="F63" s="105">
        <f t="shared" si="2"/>
        <v>102.73986848090911</v>
      </c>
    </row>
    <row r="64" spans="1:6">
      <c r="A64" s="107" t="s">
        <v>454</v>
      </c>
      <c r="B64" s="108" t="s">
        <v>455</v>
      </c>
      <c r="C64" s="109">
        <f>C65</f>
        <v>8514935.7899999991</v>
      </c>
      <c r="D64" s="109">
        <f t="shared" ref="D64:E64" si="26">D65</f>
        <v>8514935.7899999991</v>
      </c>
      <c r="E64" s="109">
        <f t="shared" si="26"/>
        <v>8707880.9400000013</v>
      </c>
      <c r="F64" s="105">
        <f t="shared" si="2"/>
        <v>102.2659613032737</v>
      </c>
    </row>
    <row r="65" spans="1:6" ht="46.8">
      <c r="A65" s="107" t="s">
        <v>456</v>
      </c>
      <c r="B65" s="108" t="s">
        <v>457</v>
      </c>
      <c r="C65" s="109">
        <f>C67+C69+C74</f>
        <v>8514935.7899999991</v>
      </c>
      <c r="D65" s="109">
        <f t="shared" ref="D65:E65" si="27">D67+D69+D74</f>
        <v>8514935.7899999991</v>
      </c>
      <c r="E65" s="109">
        <f t="shared" si="27"/>
        <v>8707880.9400000013</v>
      </c>
      <c r="F65" s="105">
        <f t="shared" si="2"/>
        <v>102.2659613032737</v>
      </c>
    </row>
    <row r="66" spans="1:6" ht="31.2" hidden="1">
      <c r="A66" s="107" t="s">
        <v>458</v>
      </c>
      <c r="B66" s="108" t="s">
        <v>459</v>
      </c>
      <c r="C66" s="109"/>
      <c r="D66" s="109"/>
      <c r="E66" s="109"/>
      <c r="F66" s="105" t="e">
        <f t="shared" si="2"/>
        <v>#DIV/0!</v>
      </c>
    </row>
    <row r="67" spans="1:6" ht="46.8">
      <c r="A67" s="107" t="s">
        <v>460</v>
      </c>
      <c r="B67" s="108" t="s">
        <v>461</v>
      </c>
      <c r="C67" s="109">
        <f>C68</f>
        <v>1688556.33</v>
      </c>
      <c r="D67" s="109">
        <f t="shared" ref="D67:E67" si="28">D68</f>
        <v>1688556.33</v>
      </c>
      <c r="E67" s="109">
        <f t="shared" si="28"/>
        <v>1331649.79</v>
      </c>
      <c r="F67" s="105">
        <f t="shared" si="2"/>
        <v>78.86321387927876</v>
      </c>
    </row>
    <row r="68" spans="1:6">
      <c r="A68" s="107" t="s">
        <v>552</v>
      </c>
      <c r="B68" s="108" t="s">
        <v>553</v>
      </c>
      <c r="C68" s="109">
        <v>1688556.33</v>
      </c>
      <c r="D68" s="109">
        <v>1688556.33</v>
      </c>
      <c r="E68" s="109">
        <v>1331649.79</v>
      </c>
      <c r="F68" s="105">
        <f t="shared" si="2"/>
        <v>78.86321387927876</v>
      </c>
    </row>
    <row r="69" spans="1:6" ht="31.2">
      <c r="A69" s="107" t="s">
        <v>462</v>
      </c>
      <c r="B69" s="108" t="s">
        <v>463</v>
      </c>
      <c r="C69" s="109">
        <f>C70+C72</f>
        <v>533636</v>
      </c>
      <c r="D69" s="109">
        <f t="shared" ref="D69:E69" si="29">D70+D72</f>
        <v>533636</v>
      </c>
      <c r="E69" s="109">
        <f t="shared" si="29"/>
        <v>533636</v>
      </c>
      <c r="F69" s="105">
        <f t="shared" si="2"/>
        <v>100</v>
      </c>
    </row>
    <row r="70" spans="1:6" ht="46.8">
      <c r="A70" s="107" t="s">
        <v>520</v>
      </c>
      <c r="B70" s="108" t="s">
        <v>521</v>
      </c>
      <c r="C70" s="109">
        <f>C71</f>
        <v>46486</v>
      </c>
      <c r="D70" s="109">
        <f t="shared" ref="D70:E70" si="30">D71</f>
        <v>46486</v>
      </c>
      <c r="E70" s="109">
        <f t="shared" si="30"/>
        <v>46486</v>
      </c>
      <c r="F70" s="105">
        <f t="shared" si="2"/>
        <v>100</v>
      </c>
    </row>
    <row r="71" spans="1:6" ht="46.8">
      <c r="A71" s="107" t="s">
        <v>522</v>
      </c>
      <c r="B71" s="108" t="s">
        <v>523</v>
      </c>
      <c r="C71" s="109">
        <v>46486</v>
      </c>
      <c r="D71" s="109">
        <v>46486</v>
      </c>
      <c r="E71" s="109">
        <v>46486</v>
      </c>
      <c r="F71" s="105">
        <f t="shared" si="2"/>
        <v>100</v>
      </c>
    </row>
    <row r="72" spans="1:6" ht="46.8">
      <c r="A72" s="107" t="s">
        <v>524</v>
      </c>
      <c r="B72" s="108" t="s">
        <v>525</v>
      </c>
      <c r="C72" s="109">
        <f>C73</f>
        <v>487150</v>
      </c>
      <c r="D72" s="109">
        <f t="shared" ref="D72:E72" si="31">D73</f>
        <v>487150</v>
      </c>
      <c r="E72" s="109">
        <f t="shared" si="31"/>
        <v>487150</v>
      </c>
      <c r="F72" s="105">
        <f t="shared" si="2"/>
        <v>100</v>
      </c>
    </row>
    <row r="73" spans="1:6" ht="62.4">
      <c r="A73" s="107" t="s">
        <v>526</v>
      </c>
      <c r="B73" s="108" t="s">
        <v>527</v>
      </c>
      <c r="C73" s="109">
        <v>487150</v>
      </c>
      <c r="D73" s="109">
        <v>487150</v>
      </c>
      <c r="E73" s="109">
        <v>487150</v>
      </c>
      <c r="F73" s="105">
        <f t="shared" si="2"/>
        <v>100</v>
      </c>
    </row>
    <row r="74" spans="1:6">
      <c r="A74" s="107" t="s">
        <v>464</v>
      </c>
      <c r="B74" s="108" t="s">
        <v>465</v>
      </c>
      <c r="C74" s="109">
        <f>C75+C76</f>
        <v>6292743.46</v>
      </c>
      <c r="D74" s="109">
        <f t="shared" ref="D74" si="32">D75+D76</f>
        <v>6292743.46</v>
      </c>
      <c r="E74" s="109">
        <f>E75+E76</f>
        <v>6842595.1500000004</v>
      </c>
      <c r="F74" s="105">
        <f t="shared" si="2"/>
        <v>108.73786915826378</v>
      </c>
    </row>
    <row r="75" spans="1:6" ht="46.8">
      <c r="A75" s="107" t="s">
        <v>554</v>
      </c>
      <c r="B75" s="108" t="s">
        <v>555</v>
      </c>
      <c r="C75" s="109">
        <v>5000000</v>
      </c>
      <c r="D75" s="109">
        <v>5000000</v>
      </c>
      <c r="E75" s="109">
        <v>5000000</v>
      </c>
      <c r="F75" s="105">
        <f t="shared" si="2"/>
        <v>100</v>
      </c>
    </row>
    <row r="76" spans="1:6" ht="31.2">
      <c r="A76" s="107" t="s">
        <v>556</v>
      </c>
      <c r="B76" s="108" t="s">
        <v>557</v>
      </c>
      <c r="C76" s="109">
        <f>C77</f>
        <v>1292743.46</v>
      </c>
      <c r="D76" s="109">
        <f t="shared" ref="D76:E76" si="33">D77</f>
        <v>1292743.46</v>
      </c>
      <c r="E76" s="109">
        <f t="shared" si="33"/>
        <v>1842595.15</v>
      </c>
      <c r="F76" s="105">
        <f t="shared" si="2"/>
        <v>142.53370502450656</v>
      </c>
    </row>
    <row r="77" spans="1:6" ht="31.2">
      <c r="A77" s="107" t="s">
        <v>528</v>
      </c>
      <c r="B77" s="108" t="s">
        <v>558</v>
      </c>
      <c r="C77" s="109">
        <f>1228243.46+60000+4500</f>
        <v>1292743.46</v>
      </c>
      <c r="D77" s="109">
        <f>C77</f>
        <v>1292743.46</v>
      </c>
      <c r="E77" s="109">
        <v>1842595.15</v>
      </c>
      <c r="F77" s="105">
        <f t="shared" ref="F77:F78" si="34">E77/D77*100</f>
        <v>142.53370502450656</v>
      </c>
    </row>
    <row r="78" spans="1:6">
      <c r="A78" s="114"/>
      <c r="B78" s="115" t="s">
        <v>468</v>
      </c>
      <c r="C78" s="116">
        <f>C12+C64</f>
        <v>142550573.36000001</v>
      </c>
      <c r="D78" s="116">
        <f>D12+D64</f>
        <v>142550573.36000001</v>
      </c>
      <c r="E78" s="116">
        <f>E12+E64</f>
        <v>152061858.94999999</v>
      </c>
      <c r="F78" s="105">
        <f t="shared" si="34"/>
        <v>106.67221840348546</v>
      </c>
    </row>
  </sheetData>
  <sheetProtection formatCells="0" formatColumns="0" formatRows="0" deleteColumns="0" deleteRows="0"/>
  <mergeCells count="7">
    <mergeCell ref="A8:E8"/>
    <mergeCell ref="C1:E1"/>
    <mergeCell ref="C2:E2"/>
    <mergeCell ref="C3:E3"/>
    <mergeCell ref="C4:E4"/>
    <mergeCell ref="C5:E5"/>
    <mergeCell ref="C6:E6"/>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80"/>
  </sheetPr>
  <dimension ref="A1:E53"/>
  <sheetViews>
    <sheetView view="pageBreakPreview" topLeftCell="A7" zoomScaleNormal="80" zoomScaleSheetLayoutView="100" workbookViewId="0">
      <selection activeCell="A10" sqref="A10:E10"/>
    </sheetView>
  </sheetViews>
  <sheetFormatPr defaultColWidth="31" defaultRowHeight="15.6"/>
  <cols>
    <col min="1" max="1" width="6" style="104" customWidth="1"/>
    <col min="2" max="2" width="71.109375" style="94" customWidth="1"/>
    <col min="3" max="3" width="18.6640625" style="95" customWidth="1"/>
    <col min="4" max="4" width="17.6640625" style="93" customWidth="1"/>
    <col min="5" max="5" width="23.44140625" style="93" customWidth="1"/>
    <col min="6" max="16384" width="31" style="93"/>
  </cols>
  <sheetData>
    <row r="1" spans="1:5">
      <c r="B1" s="72"/>
      <c r="C1" s="246" t="s">
        <v>409</v>
      </c>
      <c r="D1" s="246"/>
      <c r="E1" s="246"/>
    </row>
    <row r="2" spans="1:5">
      <c r="B2" s="72"/>
      <c r="C2" s="246" t="s">
        <v>3</v>
      </c>
      <c r="D2" s="246"/>
      <c r="E2" s="246"/>
    </row>
    <row r="3" spans="1:5">
      <c r="B3" s="72"/>
      <c r="C3" s="246" t="s">
        <v>486</v>
      </c>
      <c r="D3" s="246"/>
      <c r="E3" s="246"/>
    </row>
    <row r="4" spans="1:5">
      <c r="B4" s="72"/>
      <c r="C4" s="246" t="s">
        <v>487</v>
      </c>
      <c r="D4" s="246"/>
      <c r="E4" s="246"/>
    </row>
    <row r="5" spans="1:5">
      <c r="B5" s="72"/>
      <c r="C5" s="246" t="s">
        <v>488</v>
      </c>
      <c r="D5" s="246"/>
      <c r="E5" s="246"/>
    </row>
    <row r="6" spans="1:5">
      <c r="B6" s="72"/>
      <c r="C6" s="246" t="s">
        <v>489</v>
      </c>
      <c r="D6" s="246"/>
      <c r="E6" s="246"/>
    </row>
    <row r="7" spans="1:5">
      <c r="B7" s="72"/>
      <c r="C7" s="72"/>
    </row>
    <row r="8" spans="1:5">
      <c r="A8" s="92"/>
    </row>
    <row r="9" spans="1:5">
      <c r="A9" s="92"/>
      <c r="C9" s="93"/>
      <c r="E9" s="95" t="s">
        <v>560</v>
      </c>
    </row>
    <row r="10" spans="1:5" ht="88.5" customHeight="1">
      <c r="A10" s="245" t="s">
        <v>586</v>
      </c>
      <c r="B10" s="245"/>
      <c r="C10" s="245"/>
      <c r="D10" s="245"/>
      <c r="E10" s="245"/>
    </row>
    <row r="11" spans="1:5" ht="17.7" customHeight="1">
      <c r="A11" s="245"/>
      <c r="B11" s="245"/>
      <c r="C11" s="245"/>
    </row>
    <row r="12" spans="1:5">
      <c r="A12" s="92" t="s">
        <v>1</v>
      </c>
      <c r="B12" s="96"/>
      <c r="C12" s="93"/>
      <c r="E12" s="118" t="s">
        <v>2</v>
      </c>
    </row>
    <row r="13" spans="1:5" ht="191.4" customHeight="1">
      <c r="A13" s="119"/>
      <c r="B13" s="120" t="s">
        <v>561</v>
      </c>
      <c r="C13" s="102" t="s">
        <v>491</v>
      </c>
      <c r="D13" s="102" t="s">
        <v>490</v>
      </c>
      <c r="E13" s="102" t="s">
        <v>492</v>
      </c>
    </row>
    <row r="14" spans="1:5">
      <c r="A14" s="121">
        <v>1</v>
      </c>
      <c r="B14" s="122" t="s">
        <v>562</v>
      </c>
      <c r="C14" s="123">
        <f>'Прил 6'!J50</f>
        <v>211300</v>
      </c>
      <c r="D14" s="123">
        <f>'Прил 6'!K50</f>
        <v>211300</v>
      </c>
      <c r="E14" s="123">
        <f>'Прил 6'!L50</f>
        <v>211300</v>
      </c>
    </row>
    <row r="15" spans="1:5" ht="46.8">
      <c r="A15" s="121">
        <v>2</v>
      </c>
      <c r="B15" s="122" t="s">
        <v>563</v>
      </c>
      <c r="C15" s="123">
        <f>'Прил 6'!J45</f>
        <v>167900</v>
      </c>
      <c r="D15" s="123">
        <f>'Прил 6'!K45</f>
        <v>167900</v>
      </c>
      <c r="E15" s="123">
        <f>'Прил 6'!L45</f>
        <v>167900</v>
      </c>
    </row>
    <row r="16" spans="1:5" ht="409.2" customHeight="1">
      <c r="A16" s="121">
        <v>3</v>
      </c>
      <c r="B16" s="122" t="s">
        <v>564</v>
      </c>
      <c r="C16" s="123">
        <f>'Прил 6'!J39</f>
        <v>388000</v>
      </c>
      <c r="D16" s="123">
        <f>'Прил 6'!K39</f>
        <v>388000</v>
      </c>
      <c r="E16" s="123">
        <f>'Прил 6'!L39</f>
        <v>387500</v>
      </c>
    </row>
    <row r="17" spans="1:5" ht="46.8">
      <c r="A17" s="121">
        <v>4</v>
      </c>
      <c r="B17" s="122" t="s">
        <v>565</v>
      </c>
      <c r="C17" s="123">
        <f>'Прил 6'!J173</f>
        <v>34500</v>
      </c>
      <c r="D17" s="123">
        <f>'Прил 6'!K173</f>
        <v>34500</v>
      </c>
      <c r="E17" s="123">
        <f>'Прил 6'!L173</f>
        <v>34500</v>
      </c>
    </row>
    <row r="18" spans="1:5" ht="31.2">
      <c r="A18" s="121">
        <v>5</v>
      </c>
      <c r="B18" s="122" t="s">
        <v>566</v>
      </c>
      <c r="C18" s="123">
        <f>'Прил 6'!J43</f>
        <v>109200</v>
      </c>
      <c r="D18" s="123">
        <f>'Прил 6'!K43</f>
        <v>109200</v>
      </c>
      <c r="E18" s="123">
        <f>'Прил 6'!L43</f>
        <v>109200</v>
      </c>
    </row>
    <row r="19" spans="1:5" ht="31.2">
      <c r="A19" s="121">
        <v>6</v>
      </c>
      <c r="B19" s="122" t="s">
        <v>567</v>
      </c>
      <c r="C19" s="123">
        <f>'Прил 6'!J41</f>
        <v>142800</v>
      </c>
      <c r="D19" s="123">
        <f>'Прил 6'!K41</f>
        <v>142800</v>
      </c>
      <c r="E19" s="123">
        <f>'Прил 6'!L41</f>
        <v>142800</v>
      </c>
    </row>
    <row r="20" spans="1:5" ht="78">
      <c r="A20" s="121">
        <v>7</v>
      </c>
      <c r="B20" s="122" t="s">
        <v>568</v>
      </c>
      <c r="C20" s="123">
        <f>'Прил 6'!J298</f>
        <v>131046.35000000009</v>
      </c>
      <c r="D20" s="123">
        <f>'Прил 6'!K298</f>
        <v>131046.35</v>
      </c>
      <c r="E20" s="123">
        <f>'Прил 6'!L298</f>
        <v>131046.34</v>
      </c>
    </row>
    <row r="21" spans="1:5" ht="93.6">
      <c r="A21" s="121">
        <v>8</v>
      </c>
      <c r="B21" s="122" t="s">
        <v>569</v>
      </c>
      <c r="C21" s="123">
        <f>'Прил 6'!J187</f>
        <v>347952.5</v>
      </c>
      <c r="D21" s="123">
        <f>'Прил 6'!K187</f>
        <v>347952.5</v>
      </c>
      <c r="E21" s="123">
        <f>'Прил 6'!L187</f>
        <v>347952.5</v>
      </c>
    </row>
    <row r="22" spans="1:5">
      <c r="A22" s="119"/>
      <c r="B22" s="124" t="s">
        <v>570</v>
      </c>
      <c r="C22" s="125">
        <f>SUM(C14:C21)</f>
        <v>1532698.85</v>
      </c>
      <c r="D22" s="125">
        <f t="shared" ref="D22:E22" si="0">SUM(D14:D21)</f>
        <v>1532698.85</v>
      </c>
      <c r="E22" s="125">
        <f t="shared" si="0"/>
        <v>1532198.84</v>
      </c>
    </row>
    <row r="23" spans="1:5" ht="21.75" customHeight="1">
      <c r="A23" s="126"/>
      <c r="B23" s="126"/>
      <c r="C23" s="127"/>
    </row>
    <row r="24" spans="1:5" s="133" customFormat="1" ht="89.4" customHeight="1">
      <c r="A24" s="247" t="s">
        <v>571</v>
      </c>
      <c r="B24" s="247"/>
      <c r="C24" s="247"/>
      <c r="D24" s="247"/>
      <c r="E24" s="247"/>
    </row>
    <row r="25" spans="1:5" s="133" customFormat="1" ht="15.75" customHeight="1">
      <c r="A25" s="128"/>
      <c r="B25" s="128"/>
      <c r="C25" s="128"/>
    </row>
    <row r="26" spans="1:5" s="133" customFormat="1" ht="91.2" customHeight="1">
      <c r="A26" s="247" t="s">
        <v>572</v>
      </c>
      <c r="B26" s="247"/>
      <c r="C26" s="247"/>
      <c r="D26" s="247"/>
      <c r="E26" s="247"/>
    </row>
    <row r="27" spans="1:5" s="133" customFormat="1" ht="25.5" customHeight="1">
      <c r="A27" s="129"/>
      <c r="B27" s="129"/>
      <c r="C27" s="129"/>
    </row>
    <row r="28" spans="1:5" s="133" customFormat="1" ht="234.6" customHeight="1">
      <c r="A28" s="248" t="s">
        <v>573</v>
      </c>
      <c r="B28" s="248"/>
      <c r="C28" s="248"/>
      <c r="D28" s="248"/>
      <c r="E28" s="248"/>
    </row>
    <row r="29" spans="1:5" s="133" customFormat="1" ht="193.2" customHeight="1">
      <c r="A29" s="249" t="s">
        <v>574</v>
      </c>
      <c r="B29" s="249"/>
      <c r="C29" s="249"/>
      <c r="D29" s="249"/>
      <c r="E29" s="249"/>
    </row>
    <row r="30" spans="1:5" s="133" customFormat="1" ht="182.4" customHeight="1">
      <c r="A30" s="248" t="s">
        <v>575</v>
      </c>
      <c r="B30" s="248"/>
      <c r="C30" s="248"/>
      <c r="D30" s="248"/>
      <c r="E30" s="248"/>
    </row>
    <row r="31" spans="1:5" s="133" customFormat="1" ht="18" customHeight="1">
      <c r="A31" s="130"/>
      <c r="B31" s="130"/>
      <c r="C31" s="130"/>
    </row>
    <row r="32" spans="1:5" s="133" customFormat="1" ht="67.95" customHeight="1">
      <c r="A32" s="247" t="s">
        <v>576</v>
      </c>
      <c r="B32" s="247"/>
      <c r="C32" s="247"/>
      <c r="D32" s="247"/>
      <c r="E32" s="247"/>
    </row>
    <row r="33" spans="1:5" s="133" customFormat="1" ht="15.75" customHeight="1">
      <c r="A33" s="130"/>
      <c r="B33" s="130"/>
      <c r="C33" s="130"/>
    </row>
    <row r="34" spans="1:5" s="133" customFormat="1" ht="77.400000000000006" customHeight="1">
      <c r="A34" s="247" t="s">
        <v>577</v>
      </c>
      <c r="B34" s="247"/>
      <c r="C34" s="247"/>
      <c r="D34" s="247"/>
      <c r="E34" s="247"/>
    </row>
    <row r="35" spans="1:5" s="133" customFormat="1" ht="18" customHeight="1">
      <c r="A35" s="130"/>
      <c r="B35" s="130"/>
      <c r="C35" s="130"/>
    </row>
    <row r="36" spans="1:5" s="133" customFormat="1" ht="84.6" customHeight="1">
      <c r="A36" s="247" t="s">
        <v>578</v>
      </c>
      <c r="B36" s="247"/>
      <c r="C36" s="247"/>
      <c r="D36" s="247"/>
      <c r="E36" s="247"/>
    </row>
    <row r="37" spans="1:5" s="133" customFormat="1" ht="18" customHeight="1">
      <c r="A37" s="134"/>
      <c r="B37" s="134"/>
      <c r="C37" s="135"/>
    </row>
    <row r="38" spans="1:5" s="133" customFormat="1" ht="38.4" customHeight="1">
      <c r="A38" s="247" t="s">
        <v>579</v>
      </c>
      <c r="B38" s="247"/>
      <c r="C38" s="247"/>
      <c r="D38" s="247"/>
      <c r="E38" s="247"/>
    </row>
    <row r="39" spans="1:5" s="133" customFormat="1">
      <c r="A39" s="134"/>
      <c r="B39" s="134"/>
      <c r="C39" s="135"/>
    </row>
    <row r="40" spans="1:5" s="133" customFormat="1" ht="257.39999999999998" customHeight="1">
      <c r="A40" s="247" t="s">
        <v>580</v>
      </c>
      <c r="B40" s="247"/>
      <c r="C40" s="247"/>
      <c r="D40" s="247"/>
      <c r="E40" s="247"/>
    </row>
    <row r="41" spans="1:5">
      <c r="A41" s="126"/>
      <c r="B41" s="126"/>
      <c r="C41" s="127"/>
    </row>
    <row r="42" spans="1:5">
      <c r="A42" s="126"/>
      <c r="B42" s="126"/>
      <c r="C42" s="93"/>
      <c r="E42" s="89" t="s">
        <v>581</v>
      </c>
    </row>
    <row r="43" spans="1:5" ht="44.4" customHeight="1">
      <c r="A43" s="250" t="s">
        <v>587</v>
      </c>
      <c r="B43" s="250"/>
      <c r="C43" s="250"/>
      <c r="D43" s="250"/>
      <c r="E43" s="250"/>
    </row>
    <row r="44" spans="1:5" ht="17.399999999999999">
      <c r="A44" s="131"/>
      <c r="B44" s="131"/>
      <c r="C44" s="131"/>
    </row>
    <row r="45" spans="1:5">
      <c r="A45" s="126"/>
      <c r="B45" s="126"/>
      <c r="C45" s="93"/>
      <c r="E45" s="132" t="s">
        <v>2</v>
      </c>
    </row>
    <row r="46" spans="1:5" ht="192" customHeight="1">
      <c r="A46" s="119"/>
      <c r="B46" s="120" t="s">
        <v>561</v>
      </c>
      <c r="C46" s="102" t="s">
        <v>491</v>
      </c>
      <c r="D46" s="102" t="s">
        <v>490</v>
      </c>
      <c r="E46" s="102" t="s">
        <v>492</v>
      </c>
    </row>
    <row r="47" spans="1:5" ht="78">
      <c r="A47" s="121">
        <v>1</v>
      </c>
      <c r="B47" s="122" t="s">
        <v>582</v>
      </c>
      <c r="C47" s="123">
        <f>'Прил 6'!J336</f>
        <v>2406775</v>
      </c>
      <c r="D47" s="123">
        <f>'Прил 6'!K336</f>
        <v>2406775</v>
      </c>
      <c r="E47" s="123">
        <f>'Прил 6'!L336</f>
        <v>2406775</v>
      </c>
    </row>
    <row r="48" spans="1:5" ht="62.4">
      <c r="A48" s="121">
        <v>2</v>
      </c>
      <c r="B48" s="122" t="s">
        <v>583</v>
      </c>
      <c r="C48" s="123">
        <f>'Прил 6'!J302</f>
        <v>98447.03</v>
      </c>
      <c r="D48" s="123">
        <f>'Прил 6'!K302</f>
        <v>98447.03</v>
      </c>
      <c r="E48" s="123">
        <f>'Прил 6'!L302</f>
        <v>98447.03</v>
      </c>
    </row>
    <row r="49" spans="1:5">
      <c r="A49" s="119"/>
      <c r="B49" s="124" t="s">
        <v>570</v>
      </c>
      <c r="C49" s="125">
        <f>SUM(C47:C48)</f>
        <v>2505222.0299999998</v>
      </c>
      <c r="D49" s="125">
        <f t="shared" ref="D49:E49" si="1">SUM(D47:D48)</f>
        <v>2505222.0299999998</v>
      </c>
      <c r="E49" s="125">
        <f t="shared" si="1"/>
        <v>2505222.0299999998</v>
      </c>
    </row>
    <row r="50" spans="1:5">
      <c r="A50" s="126"/>
      <c r="B50" s="126"/>
      <c r="C50" s="127"/>
    </row>
    <row r="51" spans="1:5" s="133" customFormat="1" ht="209.4" customHeight="1">
      <c r="A51" s="247" t="s">
        <v>584</v>
      </c>
      <c r="B51" s="247"/>
      <c r="C51" s="247"/>
      <c r="D51" s="247"/>
      <c r="E51" s="247"/>
    </row>
    <row r="52" spans="1:5" s="133" customFormat="1">
      <c r="A52" s="136"/>
      <c r="B52" s="136"/>
      <c r="C52" s="136"/>
    </row>
    <row r="53" spans="1:5" s="133" customFormat="1" ht="189.6" customHeight="1">
      <c r="A53" s="247" t="s">
        <v>585</v>
      </c>
      <c r="B53" s="247"/>
      <c r="C53" s="247"/>
      <c r="D53" s="247"/>
      <c r="E53" s="247"/>
    </row>
  </sheetData>
  <sheetProtection formatCells="0" formatColumns="0" formatRows="0" deleteColumns="0" deleteRows="0"/>
  <mergeCells count="21">
    <mergeCell ref="A53:E53"/>
    <mergeCell ref="A36:E36"/>
    <mergeCell ref="A38:E38"/>
    <mergeCell ref="A40:E40"/>
    <mergeCell ref="A43:E43"/>
    <mergeCell ref="A51:E51"/>
    <mergeCell ref="A28:E28"/>
    <mergeCell ref="A30:E30"/>
    <mergeCell ref="A32:E32"/>
    <mergeCell ref="A29:E29"/>
    <mergeCell ref="A34:E34"/>
    <mergeCell ref="C6:E6"/>
    <mergeCell ref="A10:E10"/>
    <mergeCell ref="A24:E24"/>
    <mergeCell ref="A26:E26"/>
    <mergeCell ref="A11:C11"/>
    <mergeCell ref="C1:E1"/>
    <mergeCell ref="C2:E2"/>
    <mergeCell ref="C3:E3"/>
    <mergeCell ref="C4:E4"/>
    <mergeCell ref="C5:E5"/>
  </mergeCells>
  <pageMargins left="0.78740157480314965" right="0.39370078740157483" top="0.39370078740157483" bottom="0.39370078740157483" header="0.19685039370078741" footer="0.19685039370078741"/>
  <pageSetup paperSize="9" scale="92" fitToHeight="0" orientation="landscape" r:id="rId1"/>
  <headerFooter scaleWithDoc="0">
    <oddHeader>&amp;C&amp;P</oddHeader>
  </headerFooter>
  <rowBreaks count="1" manualBreakCount="1">
    <brk id="4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80"/>
    <pageSetUpPr fitToPage="1"/>
  </sheetPr>
  <dimension ref="A1:J46"/>
  <sheetViews>
    <sheetView showGridLines="0" tabSelected="1" view="pageBreakPreview" topLeftCell="A19" zoomScaleNormal="100" zoomScaleSheetLayoutView="100" workbookViewId="0">
      <selection activeCell="G26" sqref="G26"/>
    </sheetView>
  </sheetViews>
  <sheetFormatPr defaultRowHeight="13.2"/>
  <cols>
    <col min="1" max="1" width="99" style="190" customWidth="1"/>
    <col min="2" max="2" width="4.33203125" style="190" customWidth="1"/>
    <col min="3" max="3" width="4.88671875" style="190" customWidth="1"/>
    <col min="4" max="5" width="21.88671875" style="190" customWidth="1"/>
    <col min="6" max="6" width="16.33203125" style="190" customWidth="1"/>
    <col min="7" max="7" width="9.109375" style="289" customWidth="1"/>
    <col min="8" max="218" width="9.109375" style="190" customWidth="1"/>
    <col min="219" max="256" width="9.109375" style="190"/>
    <col min="257" max="257" width="99" style="190" customWidth="1"/>
    <col min="258" max="258" width="4.33203125" style="190" customWidth="1"/>
    <col min="259" max="259" width="4.88671875" style="190" customWidth="1"/>
    <col min="260" max="261" width="21.88671875" style="190" customWidth="1"/>
    <col min="262" max="262" width="12.5546875" style="190" customWidth="1"/>
    <col min="263" max="474" width="9.109375" style="190" customWidth="1"/>
    <col min="475" max="512" width="9.109375" style="190"/>
    <col min="513" max="513" width="99" style="190" customWidth="1"/>
    <col min="514" max="514" width="4.33203125" style="190" customWidth="1"/>
    <col min="515" max="515" width="4.88671875" style="190" customWidth="1"/>
    <col min="516" max="517" width="21.88671875" style="190" customWidth="1"/>
    <col min="518" max="518" width="12.5546875" style="190" customWidth="1"/>
    <col min="519" max="730" width="9.109375" style="190" customWidth="1"/>
    <col min="731" max="768" width="9.109375" style="190"/>
    <col min="769" max="769" width="99" style="190" customWidth="1"/>
    <col min="770" max="770" width="4.33203125" style="190" customWidth="1"/>
    <col min="771" max="771" width="4.88671875" style="190" customWidth="1"/>
    <col min="772" max="773" width="21.88671875" style="190" customWidth="1"/>
    <col min="774" max="774" width="12.5546875" style="190" customWidth="1"/>
    <col min="775" max="986" width="9.109375" style="190" customWidth="1"/>
    <col min="987" max="1024" width="9.109375" style="190"/>
    <col min="1025" max="1025" width="99" style="190" customWidth="1"/>
    <col min="1026" max="1026" width="4.33203125" style="190" customWidth="1"/>
    <col min="1027" max="1027" width="4.88671875" style="190" customWidth="1"/>
    <col min="1028" max="1029" width="21.88671875" style="190" customWidth="1"/>
    <col min="1030" max="1030" width="12.5546875" style="190" customWidth="1"/>
    <col min="1031" max="1242" width="9.109375" style="190" customWidth="1"/>
    <col min="1243" max="1280" width="9.109375" style="190"/>
    <col min="1281" max="1281" width="99" style="190" customWidth="1"/>
    <col min="1282" max="1282" width="4.33203125" style="190" customWidth="1"/>
    <col min="1283" max="1283" width="4.88671875" style="190" customWidth="1"/>
    <col min="1284" max="1285" width="21.88671875" style="190" customWidth="1"/>
    <col min="1286" max="1286" width="12.5546875" style="190" customWidth="1"/>
    <col min="1287" max="1498" width="9.109375" style="190" customWidth="1"/>
    <col min="1499" max="1536" width="9.109375" style="190"/>
    <col min="1537" max="1537" width="99" style="190" customWidth="1"/>
    <col min="1538" max="1538" width="4.33203125" style="190" customWidth="1"/>
    <col min="1539" max="1539" width="4.88671875" style="190" customWidth="1"/>
    <col min="1540" max="1541" width="21.88671875" style="190" customWidth="1"/>
    <col min="1542" max="1542" width="12.5546875" style="190" customWidth="1"/>
    <col min="1543" max="1754" width="9.109375" style="190" customWidth="1"/>
    <col min="1755" max="1792" width="9.109375" style="190"/>
    <col min="1793" max="1793" width="99" style="190" customWidth="1"/>
    <col min="1794" max="1794" width="4.33203125" style="190" customWidth="1"/>
    <col min="1795" max="1795" width="4.88671875" style="190" customWidth="1"/>
    <col min="1796" max="1797" width="21.88671875" style="190" customWidth="1"/>
    <col min="1798" max="1798" width="12.5546875" style="190" customWidth="1"/>
    <col min="1799" max="2010" width="9.109375" style="190" customWidth="1"/>
    <col min="2011" max="2048" width="9.109375" style="190"/>
    <col min="2049" max="2049" width="99" style="190" customWidth="1"/>
    <col min="2050" max="2050" width="4.33203125" style="190" customWidth="1"/>
    <col min="2051" max="2051" width="4.88671875" style="190" customWidth="1"/>
    <col min="2052" max="2053" width="21.88671875" style="190" customWidth="1"/>
    <col min="2054" max="2054" width="12.5546875" style="190" customWidth="1"/>
    <col min="2055" max="2266" width="9.109375" style="190" customWidth="1"/>
    <col min="2267" max="2304" width="9.109375" style="190"/>
    <col min="2305" max="2305" width="99" style="190" customWidth="1"/>
    <col min="2306" max="2306" width="4.33203125" style="190" customWidth="1"/>
    <col min="2307" max="2307" width="4.88671875" style="190" customWidth="1"/>
    <col min="2308" max="2309" width="21.88671875" style="190" customWidth="1"/>
    <col min="2310" max="2310" width="12.5546875" style="190" customWidth="1"/>
    <col min="2311" max="2522" width="9.109375" style="190" customWidth="1"/>
    <col min="2523" max="2560" width="9.109375" style="190"/>
    <col min="2561" max="2561" width="99" style="190" customWidth="1"/>
    <col min="2562" max="2562" width="4.33203125" style="190" customWidth="1"/>
    <col min="2563" max="2563" width="4.88671875" style="190" customWidth="1"/>
    <col min="2564" max="2565" width="21.88671875" style="190" customWidth="1"/>
    <col min="2566" max="2566" width="12.5546875" style="190" customWidth="1"/>
    <col min="2567" max="2778" width="9.109375" style="190" customWidth="1"/>
    <col min="2779" max="2816" width="9.109375" style="190"/>
    <col min="2817" max="2817" width="99" style="190" customWidth="1"/>
    <col min="2818" max="2818" width="4.33203125" style="190" customWidth="1"/>
    <col min="2819" max="2819" width="4.88671875" style="190" customWidth="1"/>
    <col min="2820" max="2821" width="21.88671875" style="190" customWidth="1"/>
    <col min="2822" max="2822" width="12.5546875" style="190" customWidth="1"/>
    <col min="2823" max="3034" width="9.109375" style="190" customWidth="1"/>
    <col min="3035" max="3072" width="9.109375" style="190"/>
    <col min="3073" max="3073" width="99" style="190" customWidth="1"/>
    <col min="3074" max="3074" width="4.33203125" style="190" customWidth="1"/>
    <col min="3075" max="3075" width="4.88671875" style="190" customWidth="1"/>
    <col min="3076" max="3077" width="21.88671875" style="190" customWidth="1"/>
    <col min="3078" max="3078" width="12.5546875" style="190" customWidth="1"/>
    <col min="3079" max="3290" width="9.109375" style="190" customWidth="1"/>
    <col min="3291" max="3328" width="9.109375" style="190"/>
    <col min="3329" max="3329" width="99" style="190" customWidth="1"/>
    <col min="3330" max="3330" width="4.33203125" style="190" customWidth="1"/>
    <col min="3331" max="3331" width="4.88671875" style="190" customWidth="1"/>
    <col min="3332" max="3333" width="21.88671875" style="190" customWidth="1"/>
    <col min="3334" max="3334" width="12.5546875" style="190" customWidth="1"/>
    <col min="3335" max="3546" width="9.109375" style="190" customWidth="1"/>
    <col min="3547" max="3584" width="9.109375" style="190"/>
    <col min="3585" max="3585" width="99" style="190" customWidth="1"/>
    <col min="3586" max="3586" width="4.33203125" style="190" customWidth="1"/>
    <col min="3587" max="3587" width="4.88671875" style="190" customWidth="1"/>
    <col min="3588" max="3589" width="21.88671875" style="190" customWidth="1"/>
    <col min="3590" max="3590" width="12.5546875" style="190" customWidth="1"/>
    <col min="3591" max="3802" width="9.109375" style="190" customWidth="1"/>
    <col min="3803" max="3840" width="9.109375" style="190"/>
    <col min="3841" max="3841" width="99" style="190" customWidth="1"/>
    <col min="3842" max="3842" width="4.33203125" style="190" customWidth="1"/>
    <col min="3843" max="3843" width="4.88671875" style="190" customWidth="1"/>
    <col min="3844" max="3845" width="21.88671875" style="190" customWidth="1"/>
    <col min="3846" max="3846" width="12.5546875" style="190" customWidth="1"/>
    <col min="3847" max="4058" width="9.109375" style="190" customWidth="1"/>
    <col min="4059" max="4096" width="9.109375" style="190"/>
    <col min="4097" max="4097" width="99" style="190" customWidth="1"/>
    <col min="4098" max="4098" width="4.33203125" style="190" customWidth="1"/>
    <col min="4099" max="4099" width="4.88671875" style="190" customWidth="1"/>
    <col min="4100" max="4101" width="21.88671875" style="190" customWidth="1"/>
    <col min="4102" max="4102" width="12.5546875" style="190" customWidth="1"/>
    <col min="4103" max="4314" width="9.109375" style="190" customWidth="1"/>
    <col min="4315" max="4352" width="9.109375" style="190"/>
    <col min="4353" max="4353" width="99" style="190" customWidth="1"/>
    <col min="4354" max="4354" width="4.33203125" style="190" customWidth="1"/>
    <col min="4355" max="4355" width="4.88671875" style="190" customWidth="1"/>
    <col min="4356" max="4357" width="21.88671875" style="190" customWidth="1"/>
    <col min="4358" max="4358" width="12.5546875" style="190" customWidth="1"/>
    <col min="4359" max="4570" width="9.109375" style="190" customWidth="1"/>
    <col min="4571" max="4608" width="9.109375" style="190"/>
    <col min="4609" max="4609" width="99" style="190" customWidth="1"/>
    <col min="4610" max="4610" width="4.33203125" style="190" customWidth="1"/>
    <col min="4611" max="4611" width="4.88671875" style="190" customWidth="1"/>
    <col min="4612" max="4613" width="21.88671875" style="190" customWidth="1"/>
    <col min="4614" max="4614" width="12.5546875" style="190" customWidth="1"/>
    <col min="4615" max="4826" width="9.109375" style="190" customWidth="1"/>
    <col min="4827" max="4864" width="9.109375" style="190"/>
    <col min="4865" max="4865" width="99" style="190" customWidth="1"/>
    <col min="4866" max="4866" width="4.33203125" style="190" customWidth="1"/>
    <col min="4867" max="4867" width="4.88671875" style="190" customWidth="1"/>
    <col min="4868" max="4869" width="21.88671875" style="190" customWidth="1"/>
    <col min="4870" max="4870" width="12.5546875" style="190" customWidth="1"/>
    <col min="4871" max="5082" width="9.109375" style="190" customWidth="1"/>
    <col min="5083" max="5120" width="9.109375" style="190"/>
    <col min="5121" max="5121" width="99" style="190" customWidth="1"/>
    <col min="5122" max="5122" width="4.33203125" style="190" customWidth="1"/>
    <col min="5123" max="5123" width="4.88671875" style="190" customWidth="1"/>
    <col min="5124" max="5125" width="21.88671875" style="190" customWidth="1"/>
    <col min="5126" max="5126" width="12.5546875" style="190" customWidth="1"/>
    <col min="5127" max="5338" width="9.109375" style="190" customWidth="1"/>
    <col min="5339" max="5376" width="9.109375" style="190"/>
    <col min="5377" max="5377" width="99" style="190" customWidth="1"/>
    <col min="5378" max="5378" width="4.33203125" style="190" customWidth="1"/>
    <col min="5379" max="5379" width="4.88671875" style="190" customWidth="1"/>
    <col min="5380" max="5381" width="21.88671875" style="190" customWidth="1"/>
    <col min="5382" max="5382" width="12.5546875" style="190" customWidth="1"/>
    <col min="5383" max="5594" width="9.109375" style="190" customWidth="1"/>
    <col min="5595" max="5632" width="9.109375" style="190"/>
    <col min="5633" max="5633" width="99" style="190" customWidth="1"/>
    <col min="5634" max="5634" width="4.33203125" style="190" customWidth="1"/>
    <col min="5635" max="5635" width="4.88671875" style="190" customWidth="1"/>
    <col min="5636" max="5637" width="21.88671875" style="190" customWidth="1"/>
    <col min="5638" max="5638" width="12.5546875" style="190" customWidth="1"/>
    <col min="5639" max="5850" width="9.109375" style="190" customWidth="1"/>
    <col min="5851" max="5888" width="9.109375" style="190"/>
    <col min="5889" max="5889" width="99" style="190" customWidth="1"/>
    <col min="5890" max="5890" width="4.33203125" style="190" customWidth="1"/>
    <col min="5891" max="5891" width="4.88671875" style="190" customWidth="1"/>
    <col min="5892" max="5893" width="21.88671875" style="190" customWidth="1"/>
    <col min="5894" max="5894" width="12.5546875" style="190" customWidth="1"/>
    <col min="5895" max="6106" width="9.109375" style="190" customWidth="1"/>
    <col min="6107" max="6144" width="9.109375" style="190"/>
    <col min="6145" max="6145" width="99" style="190" customWidth="1"/>
    <col min="6146" max="6146" width="4.33203125" style="190" customWidth="1"/>
    <col min="6147" max="6147" width="4.88671875" style="190" customWidth="1"/>
    <col min="6148" max="6149" width="21.88671875" style="190" customWidth="1"/>
    <col min="6150" max="6150" width="12.5546875" style="190" customWidth="1"/>
    <col min="6151" max="6362" width="9.109375" style="190" customWidth="1"/>
    <col min="6363" max="6400" width="9.109375" style="190"/>
    <col min="6401" max="6401" width="99" style="190" customWidth="1"/>
    <col min="6402" max="6402" width="4.33203125" style="190" customWidth="1"/>
    <col min="6403" max="6403" width="4.88671875" style="190" customWidth="1"/>
    <col min="6404" max="6405" width="21.88671875" style="190" customWidth="1"/>
    <col min="6406" max="6406" width="12.5546875" style="190" customWidth="1"/>
    <col min="6407" max="6618" width="9.109375" style="190" customWidth="1"/>
    <col min="6619" max="6656" width="9.109375" style="190"/>
    <col min="6657" max="6657" width="99" style="190" customWidth="1"/>
    <col min="6658" max="6658" width="4.33203125" style="190" customWidth="1"/>
    <col min="6659" max="6659" width="4.88671875" style="190" customWidth="1"/>
    <col min="6660" max="6661" width="21.88671875" style="190" customWidth="1"/>
    <col min="6662" max="6662" width="12.5546875" style="190" customWidth="1"/>
    <col min="6663" max="6874" width="9.109375" style="190" customWidth="1"/>
    <col min="6875" max="6912" width="9.109375" style="190"/>
    <col min="6913" max="6913" width="99" style="190" customWidth="1"/>
    <col min="6914" max="6914" width="4.33203125" style="190" customWidth="1"/>
    <col min="6915" max="6915" width="4.88671875" style="190" customWidth="1"/>
    <col min="6916" max="6917" width="21.88671875" style="190" customWidth="1"/>
    <col min="6918" max="6918" width="12.5546875" style="190" customWidth="1"/>
    <col min="6919" max="7130" width="9.109375" style="190" customWidth="1"/>
    <col min="7131" max="7168" width="9.109375" style="190"/>
    <col min="7169" max="7169" width="99" style="190" customWidth="1"/>
    <col min="7170" max="7170" width="4.33203125" style="190" customWidth="1"/>
    <col min="7171" max="7171" width="4.88671875" style="190" customWidth="1"/>
    <col min="7172" max="7173" width="21.88671875" style="190" customWidth="1"/>
    <col min="7174" max="7174" width="12.5546875" style="190" customWidth="1"/>
    <col min="7175" max="7386" width="9.109375" style="190" customWidth="1"/>
    <col min="7387" max="7424" width="9.109375" style="190"/>
    <col min="7425" max="7425" width="99" style="190" customWidth="1"/>
    <col min="7426" max="7426" width="4.33203125" style="190" customWidth="1"/>
    <col min="7427" max="7427" width="4.88671875" style="190" customWidth="1"/>
    <col min="7428" max="7429" width="21.88671875" style="190" customWidth="1"/>
    <col min="7430" max="7430" width="12.5546875" style="190" customWidth="1"/>
    <col min="7431" max="7642" width="9.109375" style="190" customWidth="1"/>
    <col min="7643" max="7680" width="9.109375" style="190"/>
    <col min="7681" max="7681" width="99" style="190" customWidth="1"/>
    <col min="7682" max="7682" width="4.33203125" style="190" customWidth="1"/>
    <col min="7683" max="7683" width="4.88671875" style="190" customWidth="1"/>
    <col min="7684" max="7685" width="21.88671875" style="190" customWidth="1"/>
    <col min="7686" max="7686" width="12.5546875" style="190" customWidth="1"/>
    <col min="7687" max="7898" width="9.109375" style="190" customWidth="1"/>
    <col min="7899" max="7936" width="9.109375" style="190"/>
    <col min="7937" max="7937" width="99" style="190" customWidth="1"/>
    <col min="7938" max="7938" width="4.33203125" style="190" customWidth="1"/>
    <col min="7939" max="7939" width="4.88671875" style="190" customWidth="1"/>
    <col min="7940" max="7941" width="21.88671875" style="190" customWidth="1"/>
    <col min="7942" max="7942" width="12.5546875" style="190" customWidth="1"/>
    <col min="7943" max="8154" width="9.109375" style="190" customWidth="1"/>
    <col min="8155" max="8192" width="9.109375" style="190"/>
    <col min="8193" max="8193" width="99" style="190" customWidth="1"/>
    <col min="8194" max="8194" width="4.33203125" style="190" customWidth="1"/>
    <col min="8195" max="8195" width="4.88671875" style="190" customWidth="1"/>
    <col min="8196" max="8197" width="21.88671875" style="190" customWidth="1"/>
    <col min="8198" max="8198" width="12.5546875" style="190" customWidth="1"/>
    <col min="8199" max="8410" width="9.109375" style="190" customWidth="1"/>
    <col min="8411" max="8448" width="9.109375" style="190"/>
    <col min="8449" max="8449" width="99" style="190" customWidth="1"/>
    <col min="8450" max="8450" width="4.33203125" style="190" customWidth="1"/>
    <col min="8451" max="8451" width="4.88671875" style="190" customWidth="1"/>
    <col min="8452" max="8453" width="21.88671875" style="190" customWidth="1"/>
    <col min="8454" max="8454" width="12.5546875" style="190" customWidth="1"/>
    <col min="8455" max="8666" width="9.109375" style="190" customWidth="1"/>
    <col min="8667" max="8704" width="9.109375" style="190"/>
    <col min="8705" max="8705" width="99" style="190" customWidth="1"/>
    <col min="8706" max="8706" width="4.33203125" style="190" customWidth="1"/>
    <col min="8707" max="8707" width="4.88671875" style="190" customWidth="1"/>
    <col min="8708" max="8709" width="21.88671875" style="190" customWidth="1"/>
    <col min="8710" max="8710" width="12.5546875" style="190" customWidth="1"/>
    <col min="8711" max="8922" width="9.109375" style="190" customWidth="1"/>
    <col min="8923" max="8960" width="9.109375" style="190"/>
    <col min="8961" max="8961" width="99" style="190" customWidth="1"/>
    <col min="8962" max="8962" width="4.33203125" style="190" customWidth="1"/>
    <col min="8963" max="8963" width="4.88671875" style="190" customWidth="1"/>
    <col min="8964" max="8965" width="21.88671875" style="190" customWidth="1"/>
    <col min="8966" max="8966" width="12.5546875" style="190" customWidth="1"/>
    <col min="8967" max="9178" width="9.109375" style="190" customWidth="1"/>
    <col min="9179" max="9216" width="9.109375" style="190"/>
    <col min="9217" max="9217" width="99" style="190" customWidth="1"/>
    <col min="9218" max="9218" width="4.33203125" style="190" customWidth="1"/>
    <col min="9219" max="9219" width="4.88671875" style="190" customWidth="1"/>
    <col min="9220" max="9221" width="21.88671875" style="190" customWidth="1"/>
    <col min="9222" max="9222" width="12.5546875" style="190" customWidth="1"/>
    <col min="9223" max="9434" width="9.109375" style="190" customWidth="1"/>
    <col min="9435" max="9472" width="9.109375" style="190"/>
    <col min="9473" max="9473" width="99" style="190" customWidth="1"/>
    <col min="9474" max="9474" width="4.33203125" style="190" customWidth="1"/>
    <col min="9475" max="9475" width="4.88671875" style="190" customWidth="1"/>
    <col min="9476" max="9477" width="21.88671875" style="190" customWidth="1"/>
    <col min="9478" max="9478" width="12.5546875" style="190" customWidth="1"/>
    <col min="9479" max="9690" width="9.109375" style="190" customWidth="1"/>
    <col min="9691" max="9728" width="9.109375" style="190"/>
    <col min="9729" max="9729" width="99" style="190" customWidth="1"/>
    <col min="9730" max="9730" width="4.33203125" style="190" customWidth="1"/>
    <col min="9731" max="9731" width="4.88671875" style="190" customWidth="1"/>
    <col min="9732" max="9733" width="21.88671875" style="190" customWidth="1"/>
    <col min="9734" max="9734" width="12.5546875" style="190" customWidth="1"/>
    <col min="9735" max="9946" width="9.109375" style="190" customWidth="1"/>
    <col min="9947" max="9984" width="9.109375" style="190"/>
    <col min="9985" max="9985" width="99" style="190" customWidth="1"/>
    <col min="9986" max="9986" width="4.33203125" style="190" customWidth="1"/>
    <col min="9987" max="9987" width="4.88671875" style="190" customWidth="1"/>
    <col min="9988" max="9989" width="21.88671875" style="190" customWidth="1"/>
    <col min="9990" max="9990" width="12.5546875" style="190" customWidth="1"/>
    <col min="9991" max="10202" width="9.109375" style="190" customWidth="1"/>
    <col min="10203" max="10240" width="9.109375" style="190"/>
    <col min="10241" max="10241" width="99" style="190" customWidth="1"/>
    <col min="10242" max="10242" width="4.33203125" style="190" customWidth="1"/>
    <col min="10243" max="10243" width="4.88671875" style="190" customWidth="1"/>
    <col min="10244" max="10245" width="21.88671875" style="190" customWidth="1"/>
    <col min="10246" max="10246" width="12.5546875" style="190" customWidth="1"/>
    <col min="10247" max="10458" width="9.109375" style="190" customWidth="1"/>
    <col min="10459" max="10496" width="9.109375" style="190"/>
    <col min="10497" max="10497" width="99" style="190" customWidth="1"/>
    <col min="10498" max="10498" width="4.33203125" style="190" customWidth="1"/>
    <col min="10499" max="10499" width="4.88671875" style="190" customWidth="1"/>
    <col min="10500" max="10501" width="21.88671875" style="190" customWidth="1"/>
    <col min="10502" max="10502" width="12.5546875" style="190" customWidth="1"/>
    <col min="10503" max="10714" width="9.109375" style="190" customWidth="1"/>
    <col min="10715" max="10752" width="9.109375" style="190"/>
    <col min="10753" max="10753" width="99" style="190" customWidth="1"/>
    <col min="10754" max="10754" width="4.33203125" style="190" customWidth="1"/>
    <col min="10755" max="10755" width="4.88671875" style="190" customWidth="1"/>
    <col min="10756" max="10757" width="21.88671875" style="190" customWidth="1"/>
    <col min="10758" max="10758" width="12.5546875" style="190" customWidth="1"/>
    <col min="10759" max="10970" width="9.109375" style="190" customWidth="1"/>
    <col min="10971" max="11008" width="9.109375" style="190"/>
    <col min="11009" max="11009" width="99" style="190" customWidth="1"/>
    <col min="11010" max="11010" width="4.33203125" style="190" customWidth="1"/>
    <col min="11011" max="11011" width="4.88671875" style="190" customWidth="1"/>
    <col min="11012" max="11013" width="21.88671875" style="190" customWidth="1"/>
    <col min="11014" max="11014" width="12.5546875" style="190" customWidth="1"/>
    <col min="11015" max="11226" width="9.109375" style="190" customWidth="1"/>
    <col min="11227" max="11264" width="9.109375" style="190"/>
    <col min="11265" max="11265" width="99" style="190" customWidth="1"/>
    <col min="11266" max="11266" width="4.33203125" style="190" customWidth="1"/>
    <col min="11267" max="11267" width="4.88671875" style="190" customWidth="1"/>
    <col min="11268" max="11269" width="21.88671875" style="190" customWidth="1"/>
    <col min="11270" max="11270" width="12.5546875" style="190" customWidth="1"/>
    <col min="11271" max="11482" width="9.109375" style="190" customWidth="1"/>
    <col min="11483" max="11520" width="9.109375" style="190"/>
    <col min="11521" max="11521" width="99" style="190" customWidth="1"/>
    <col min="11522" max="11522" width="4.33203125" style="190" customWidth="1"/>
    <col min="11523" max="11523" width="4.88671875" style="190" customWidth="1"/>
    <col min="11524" max="11525" width="21.88671875" style="190" customWidth="1"/>
    <col min="11526" max="11526" width="12.5546875" style="190" customWidth="1"/>
    <col min="11527" max="11738" width="9.109375" style="190" customWidth="1"/>
    <col min="11739" max="11776" width="9.109375" style="190"/>
    <col min="11777" max="11777" width="99" style="190" customWidth="1"/>
    <col min="11778" max="11778" width="4.33203125" style="190" customWidth="1"/>
    <col min="11779" max="11779" width="4.88671875" style="190" customWidth="1"/>
    <col min="11780" max="11781" width="21.88671875" style="190" customWidth="1"/>
    <col min="11782" max="11782" width="12.5546875" style="190" customWidth="1"/>
    <col min="11783" max="11994" width="9.109375" style="190" customWidth="1"/>
    <col min="11995" max="12032" width="9.109375" style="190"/>
    <col min="12033" max="12033" width="99" style="190" customWidth="1"/>
    <col min="12034" max="12034" width="4.33203125" style="190" customWidth="1"/>
    <col min="12035" max="12035" width="4.88671875" style="190" customWidth="1"/>
    <col min="12036" max="12037" width="21.88671875" style="190" customWidth="1"/>
    <col min="12038" max="12038" width="12.5546875" style="190" customWidth="1"/>
    <col min="12039" max="12250" width="9.109375" style="190" customWidth="1"/>
    <col min="12251" max="12288" width="9.109375" style="190"/>
    <col min="12289" max="12289" width="99" style="190" customWidth="1"/>
    <col min="12290" max="12290" width="4.33203125" style="190" customWidth="1"/>
    <col min="12291" max="12291" width="4.88671875" style="190" customWidth="1"/>
    <col min="12292" max="12293" width="21.88671875" style="190" customWidth="1"/>
    <col min="12294" max="12294" width="12.5546875" style="190" customWidth="1"/>
    <col min="12295" max="12506" width="9.109375" style="190" customWidth="1"/>
    <col min="12507" max="12544" width="9.109375" style="190"/>
    <col min="12545" max="12545" width="99" style="190" customWidth="1"/>
    <col min="12546" max="12546" width="4.33203125" style="190" customWidth="1"/>
    <col min="12547" max="12547" width="4.88671875" style="190" customWidth="1"/>
    <col min="12548" max="12549" width="21.88671875" style="190" customWidth="1"/>
    <col min="12550" max="12550" width="12.5546875" style="190" customWidth="1"/>
    <col min="12551" max="12762" width="9.109375" style="190" customWidth="1"/>
    <col min="12763" max="12800" width="9.109375" style="190"/>
    <col min="12801" max="12801" width="99" style="190" customWidth="1"/>
    <col min="12802" max="12802" width="4.33203125" style="190" customWidth="1"/>
    <col min="12803" max="12803" width="4.88671875" style="190" customWidth="1"/>
    <col min="12804" max="12805" width="21.88671875" style="190" customWidth="1"/>
    <col min="12806" max="12806" width="12.5546875" style="190" customWidth="1"/>
    <col min="12807" max="13018" width="9.109375" style="190" customWidth="1"/>
    <col min="13019" max="13056" width="9.109375" style="190"/>
    <col min="13057" max="13057" width="99" style="190" customWidth="1"/>
    <col min="13058" max="13058" width="4.33203125" style="190" customWidth="1"/>
    <col min="13059" max="13059" width="4.88671875" style="190" customWidth="1"/>
    <col min="13060" max="13061" width="21.88671875" style="190" customWidth="1"/>
    <col min="13062" max="13062" width="12.5546875" style="190" customWidth="1"/>
    <col min="13063" max="13274" width="9.109375" style="190" customWidth="1"/>
    <col min="13275" max="13312" width="9.109375" style="190"/>
    <col min="13313" max="13313" width="99" style="190" customWidth="1"/>
    <col min="13314" max="13314" width="4.33203125" style="190" customWidth="1"/>
    <col min="13315" max="13315" width="4.88671875" style="190" customWidth="1"/>
    <col min="13316" max="13317" width="21.88671875" style="190" customWidth="1"/>
    <col min="13318" max="13318" width="12.5546875" style="190" customWidth="1"/>
    <col min="13319" max="13530" width="9.109375" style="190" customWidth="1"/>
    <col min="13531" max="13568" width="9.109375" style="190"/>
    <col min="13569" max="13569" width="99" style="190" customWidth="1"/>
    <col min="13570" max="13570" width="4.33203125" style="190" customWidth="1"/>
    <col min="13571" max="13571" width="4.88671875" style="190" customWidth="1"/>
    <col min="13572" max="13573" width="21.88671875" style="190" customWidth="1"/>
    <col min="13574" max="13574" width="12.5546875" style="190" customWidth="1"/>
    <col min="13575" max="13786" width="9.109375" style="190" customWidth="1"/>
    <col min="13787" max="13824" width="9.109375" style="190"/>
    <col min="13825" max="13825" width="99" style="190" customWidth="1"/>
    <col min="13826" max="13826" width="4.33203125" style="190" customWidth="1"/>
    <col min="13827" max="13827" width="4.88671875" style="190" customWidth="1"/>
    <col min="13828" max="13829" width="21.88671875" style="190" customWidth="1"/>
    <col min="13830" max="13830" width="12.5546875" style="190" customWidth="1"/>
    <col min="13831" max="14042" width="9.109375" style="190" customWidth="1"/>
    <col min="14043" max="14080" width="9.109375" style="190"/>
    <col min="14081" max="14081" width="99" style="190" customWidth="1"/>
    <col min="14082" max="14082" width="4.33203125" style="190" customWidth="1"/>
    <col min="14083" max="14083" width="4.88671875" style="190" customWidth="1"/>
    <col min="14084" max="14085" width="21.88671875" style="190" customWidth="1"/>
    <col min="14086" max="14086" width="12.5546875" style="190" customWidth="1"/>
    <col min="14087" max="14298" width="9.109375" style="190" customWidth="1"/>
    <col min="14299" max="14336" width="9.109375" style="190"/>
    <col min="14337" max="14337" width="99" style="190" customWidth="1"/>
    <col min="14338" max="14338" width="4.33203125" style="190" customWidth="1"/>
    <col min="14339" max="14339" width="4.88671875" style="190" customWidth="1"/>
    <col min="14340" max="14341" width="21.88671875" style="190" customWidth="1"/>
    <col min="14342" max="14342" width="12.5546875" style="190" customWidth="1"/>
    <col min="14343" max="14554" width="9.109375" style="190" customWidth="1"/>
    <col min="14555" max="14592" width="9.109375" style="190"/>
    <col min="14593" max="14593" width="99" style="190" customWidth="1"/>
    <col min="14594" max="14594" width="4.33203125" style="190" customWidth="1"/>
    <col min="14595" max="14595" width="4.88671875" style="190" customWidth="1"/>
    <col min="14596" max="14597" width="21.88671875" style="190" customWidth="1"/>
    <col min="14598" max="14598" width="12.5546875" style="190" customWidth="1"/>
    <col min="14599" max="14810" width="9.109375" style="190" customWidth="1"/>
    <col min="14811" max="14848" width="9.109375" style="190"/>
    <col min="14849" max="14849" width="99" style="190" customWidth="1"/>
    <col min="14850" max="14850" width="4.33203125" style="190" customWidth="1"/>
    <col min="14851" max="14851" width="4.88671875" style="190" customWidth="1"/>
    <col min="14852" max="14853" width="21.88671875" style="190" customWidth="1"/>
    <col min="14854" max="14854" width="12.5546875" style="190" customWidth="1"/>
    <col min="14855" max="15066" width="9.109375" style="190" customWidth="1"/>
    <col min="15067" max="15104" width="9.109375" style="190"/>
    <col min="15105" max="15105" width="99" style="190" customWidth="1"/>
    <col min="15106" max="15106" width="4.33203125" style="190" customWidth="1"/>
    <col min="15107" max="15107" width="4.88671875" style="190" customWidth="1"/>
    <col min="15108" max="15109" width="21.88671875" style="190" customWidth="1"/>
    <col min="15110" max="15110" width="12.5546875" style="190" customWidth="1"/>
    <col min="15111" max="15322" width="9.109375" style="190" customWidth="1"/>
    <col min="15323" max="15360" width="9.109375" style="190"/>
    <col min="15361" max="15361" width="99" style="190" customWidth="1"/>
    <col min="15362" max="15362" width="4.33203125" style="190" customWidth="1"/>
    <col min="15363" max="15363" width="4.88671875" style="190" customWidth="1"/>
    <col min="15364" max="15365" width="21.88671875" style="190" customWidth="1"/>
    <col min="15366" max="15366" width="12.5546875" style="190" customWidth="1"/>
    <col min="15367" max="15578" width="9.109375" style="190" customWidth="1"/>
    <col min="15579" max="15616" width="9.109375" style="190"/>
    <col min="15617" max="15617" width="99" style="190" customWidth="1"/>
    <col min="15618" max="15618" width="4.33203125" style="190" customWidth="1"/>
    <col min="15619" max="15619" width="4.88671875" style="190" customWidth="1"/>
    <col min="15620" max="15621" width="21.88671875" style="190" customWidth="1"/>
    <col min="15622" max="15622" width="12.5546875" style="190" customWidth="1"/>
    <col min="15623" max="15834" width="9.109375" style="190" customWidth="1"/>
    <col min="15835" max="15872" width="9.109375" style="190"/>
    <col min="15873" max="15873" width="99" style="190" customWidth="1"/>
    <col min="15874" max="15874" width="4.33203125" style="190" customWidth="1"/>
    <col min="15875" max="15875" width="4.88671875" style="190" customWidth="1"/>
    <col min="15876" max="15877" width="21.88671875" style="190" customWidth="1"/>
    <col min="15878" max="15878" width="12.5546875" style="190" customWidth="1"/>
    <col min="15879" max="16090" width="9.109375" style="190" customWidth="1"/>
    <col min="16091" max="16128" width="9.109375" style="190"/>
    <col min="16129" max="16129" width="99" style="190" customWidth="1"/>
    <col min="16130" max="16130" width="4.33203125" style="190" customWidth="1"/>
    <col min="16131" max="16131" width="4.88671875" style="190" customWidth="1"/>
    <col min="16132" max="16133" width="21.88671875" style="190" customWidth="1"/>
    <col min="16134" max="16134" width="12.5546875" style="190" customWidth="1"/>
    <col min="16135" max="16346" width="9.109375" style="190" customWidth="1"/>
    <col min="16347" max="16384" width="9.109375" style="190"/>
  </cols>
  <sheetData>
    <row r="1" spans="1:10" ht="15.75" customHeight="1">
      <c r="A1" s="189"/>
      <c r="B1" s="189"/>
      <c r="C1" s="189"/>
      <c r="D1" s="251" t="s">
        <v>625</v>
      </c>
      <c r="E1" s="251"/>
      <c r="F1" s="251"/>
    </row>
    <row r="2" spans="1:10" ht="15.75" customHeight="1">
      <c r="A2" s="189"/>
      <c r="B2" s="189"/>
      <c r="C2" s="189"/>
      <c r="D2" s="251" t="s">
        <v>3</v>
      </c>
      <c r="E2" s="251"/>
      <c r="F2" s="251"/>
    </row>
    <row r="3" spans="1:10" ht="15.75" customHeight="1">
      <c r="A3" s="189"/>
      <c r="B3" s="189"/>
      <c r="C3" s="189"/>
      <c r="D3" s="251" t="s">
        <v>486</v>
      </c>
      <c r="E3" s="251"/>
      <c r="F3" s="251"/>
    </row>
    <row r="4" spans="1:10" ht="15.75" customHeight="1">
      <c r="A4" s="189"/>
      <c r="B4" s="189"/>
      <c r="C4" s="189"/>
      <c r="D4" s="251" t="s">
        <v>487</v>
      </c>
      <c r="E4" s="251"/>
      <c r="F4" s="251"/>
    </row>
    <row r="5" spans="1:10" ht="15.75" customHeight="1">
      <c r="A5" s="189"/>
      <c r="B5" s="189"/>
      <c r="C5" s="189"/>
      <c r="D5" s="251" t="s">
        <v>488</v>
      </c>
      <c r="E5" s="251"/>
      <c r="F5" s="251"/>
    </row>
    <row r="6" spans="1:10" ht="15.6">
      <c r="A6" s="189"/>
      <c r="B6" s="189"/>
      <c r="C6" s="189"/>
      <c r="D6" s="251" t="s">
        <v>489</v>
      </c>
      <c r="E6" s="251"/>
      <c r="F6" s="251"/>
    </row>
    <row r="7" spans="1:10" ht="15.6">
      <c r="A7" s="189"/>
      <c r="B7" s="189"/>
      <c r="C7" s="189"/>
      <c r="D7" s="202"/>
      <c r="E7" s="202"/>
      <c r="F7" s="202"/>
    </row>
    <row r="8" spans="1:10" ht="46.5" customHeight="1">
      <c r="A8" s="252" t="s">
        <v>624</v>
      </c>
      <c r="B8" s="252"/>
      <c r="C8" s="252"/>
      <c r="D8" s="252"/>
      <c r="E8" s="252"/>
      <c r="F8" s="252"/>
    </row>
    <row r="9" spans="1:10" ht="18">
      <c r="A9" s="191"/>
      <c r="B9" s="191"/>
      <c r="C9" s="191"/>
      <c r="D9" s="191"/>
      <c r="E9" s="191"/>
      <c r="F9" s="192" t="s">
        <v>2</v>
      </c>
    </row>
    <row r="10" spans="1:10" ht="171.6">
      <c r="A10" s="193" t="s">
        <v>6</v>
      </c>
      <c r="B10" s="193" t="s">
        <v>336</v>
      </c>
      <c r="C10" s="193" t="s">
        <v>337</v>
      </c>
      <c r="D10" s="102" t="s">
        <v>491</v>
      </c>
      <c r="E10" s="102" t="s">
        <v>490</v>
      </c>
      <c r="F10" s="102" t="s">
        <v>492</v>
      </c>
      <c r="G10" s="290"/>
      <c r="H10" s="194"/>
      <c r="I10" s="194"/>
      <c r="J10" s="194"/>
    </row>
    <row r="11" spans="1:10" ht="15.6">
      <c r="A11" s="22" t="s">
        <v>11</v>
      </c>
      <c r="B11" s="195">
        <v>1</v>
      </c>
      <c r="C11" s="195" t="s">
        <v>341</v>
      </c>
      <c r="D11" s="242">
        <f>SUM(D12:D16)</f>
        <v>23907583.91</v>
      </c>
      <c r="E11" s="242">
        <f t="shared" ref="E11:F11" si="0">SUM(E12:E16)</f>
        <v>23907583.91</v>
      </c>
      <c r="F11" s="242">
        <f t="shared" si="0"/>
        <v>20874526.189999998</v>
      </c>
      <c r="G11" s="289">
        <f>F11/E11*100</f>
        <v>87.313407614010956</v>
      </c>
    </row>
    <row r="12" spans="1:10" ht="31.2">
      <c r="A12" s="22" t="s">
        <v>18</v>
      </c>
      <c r="B12" s="195">
        <v>1</v>
      </c>
      <c r="C12" s="195">
        <v>3</v>
      </c>
      <c r="D12" s="242">
        <f>'Прил 6'!J426</f>
        <v>1171247.3600000001</v>
      </c>
      <c r="E12" s="242">
        <f>'Прил 6'!K426</f>
        <v>1171247.3599999999</v>
      </c>
      <c r="F12" s="242">
        <f>'Прил 6'!L426</f>
        <v>1161070.8600000001</v>
      </c>
      <c r="G12" s="289">
        <f t="shared" ref="G12:G43" si="1">F12/E12*100</f>
        <v>99.131139983956956</v>
      </c>
    </row>
    <row r="13" spans="1:10" ht="31.2">
      <c r="A13" s="22" t="s">
        <v>30</v>
      </c>
      <c r="B13" s="195">
        <v>1</v>
      </c>
      <c r="C13" s="195">
        <v>4</v>
      </c>
      <c r="D13" s="242">
        <f>'Прил 6'!J14</f>
        <v>12361982.23</v>
      </c>
      <c r="E13" s="242">
        <f>'Прил 6'!K14</f>
        <v>12361982.23</v>
      </c>
      <c r="F13" s="242">
        <f>'Прил 6'!L14</f>
        <v>12264683.23</v>
      </c>
      <c r="G13" s="289">
        <f t="shared" si="1"/>
        <v>99.21291749017503</v>
      </c>
    </row>
    <row r="14" spans="1:10" ht="31.2">
      <c r="A14" s="22" t="s">
        <v>33</v>
      </c>
      <c r="B14" s="195">
        <v>1</v>
      </c>
      <c r="C14" s="195">
        <v>6</v>
      </c>
      <c r="D14" s="242">
        <f>'Прил 6'!J46</f>
        <v>211300</v>
      </c>
      <c r="E14" s="242">
        <f>'Прил 6'!K46</f>
        <v>211300</v>
      </c>
      <c r="F14" s="242">
        <f>'Прил 6'!L46</f>
        <v>211300</v>
      </c>
      <c r="G14" s="289">
        <f t="shared" si="1"/>
        <v>100</v>
      </c>
    </row>
    <row r="15" spans="1:10" ht="15.6">
      <c r="A15" s="22" t="s">
        <v>41</v>
      </c>
      <c r="B15" s="195">
        <v>1</v>
      </c>
      <c r="C15" s="195">
        <v>11</v>
      </c>
      <c r="D15" s="242">
        <f>'Прил 6'!J55</f>
        <v>51259.12</v>
      </c>
      <c r="E15" s="242">
        <f>'Прил 6'!K55</f>
        <v>51259.12</v>
      </c>
      <c r="F15" s="242">
        <f>'Прил 6'!L55</f>
        <v>0</v>
      </c>
      <c r="G15" s="289">
        <f t="shared" si="1"/>
        <v>0</v>
      </c>
    </row>
    <row r="16" spans="1:10" ht="15.6">
      <c r="A16" s="22" t="s">
        <v>46</v>
      </c>
      <c r="B16" s="195">
        <v>1</v>
      </c>
      <c r="C16" s="195">
        <v>13</v>
      </c>
      <c r="D16" s="242">
        <f>'Прил 6'!J60+'Прил 6'!J434</f>
        <v>10111795.200000001</v>
      </c>
      <c r="E16" s="242">
        <f>'Прил 6'!K60+'Прил 6'!K434</f>
        <v>10111795.200000001</v>
      </c>
      <c r="F16" s="242">
        <f>'Прил 6'!L60+'Прил 6'!L434</f>
        <v>7237472.0999999996</v>
      </c>
      <c r="G16" s="289">
        <f t="shared" si="1"/>
        <v>71.574551865923851</v>
      </c>
    </row>
    <row r="17" spans="1:7" ht="15.6">
      <c r="A17" s="22" t="s">
        <v>54</v>
      </c>
      <c r="B17" s="195">
        <v>2</v>
      </c>
      <c r="C17" s="195" t="s">
        <v>341</v>
      </c>
      <c r="D17" s="242">
        <f>D18</f>
        <v>487150</v>
      </c>
      <c r="E17" s="242">
        <f t="shared" ref="E17:F17" si="2">E18</f>
        <v>487150</v>
      </c>
      <c r="F17" s="242">
        <f t="shared" si="2"/>
        <v>487150</v>
      </c>
      <c r="G17" s="289">
        <f t="shared" si="1"/>
        <v>100</v>
      </c>
    </row>
    <row r="18" spans="1:7" ht="15.6">
      <c r="A18" s="22" t="s">
        <v>55</v>
      </c>
      <c r="B18" s="195">
        <v>2</v>
      </c>
      <c r="C18" s="195">
        <v>3</v>
      </c>
      <c r="D18" s="242">
        <f>'Прил 6'!J146</f>
        <v>487150</v>
      </c>
      <c r="E18" s="242">
        <f>'Прил 6'!K146</f>
        <v>487150</v>
      </c>
      <c r="F18" s="242">
        <f>'Прил 6'!L146</f>
        <v>487150</v>
      </c>
      <c r="G18" s="289">
        <f t="shared" si="1"/>
        <v>100</v>
      </c>
    </row>
    <row r="19" spans="1:7" ht="15.6">
      <c r="A19" s="22" t="s">
        <v>57</v>
      </c>
      <c r="B19" s="195">
        <v>3</v>
      </c>
      <c r="C19" s="195" t="s">
        <v>341</v>
      </c>
      <c r="D19" s="242">
        <f>SUM(D20:D21)</f>
        <v>1861665.96</v>
      </c>
      <c r="E19" s="242">
        <f t="shared" ref="E19:F19" si="3">SUM(E20:E21)</f>
        <v>1861665.96</v>
      </c>
      <c r="F19" s="242">
        <f t="shared" si="3"/>
        <v>1038185.57</v>
      </c>
      <c r="G19" s="289">
        <f t="shared" si="1"/>
        <v>55.766479717983344</v>
      </c>
    </row>
    <row r="20" spans="1:7" ht="31.2">
      <c r="A20" s="22" t="s">
        <v>619</v>
      </c>
      <c r="B20" s="195">
        <v>3</v>
      </c>
      <c r="C20" s="195">
        <v>9</v>
      </c>
      <c r="D20" s="242">
        <f>'Прил 6'!J149</f>
        <v>312061.11</v>
      </c>
      <c r="E20" s="242">
        <f>'Прил 6'!K149</f>
        <v>312061.11</v>
      </c>
      <c r="F20" s="242">
        <f>'Прил 6'!L149</f>
        <v>312061.11</v>
      </c>
      <c r="G20" s="289">
        <f t="shared" si="1"/>
        <v>100</v>
      </c>
    </row>
    <row r="21" spans="1:7" ht="15.6">
      <c r="A21" s="22" t="s">
        <v>620</v>
      </c>
      <c r="B21" s="195">
        <v>3</v>
      </c>
      <c r="C21" s="195">
        <v>10</v>
      </c>
      <c r="D21" s="242">
        <f>'Прил 6'!J174</f>
        <v>1549604.85</v>
      </c>
      <c r="E21" s="242">
        <f>'Прил 6'!K174</f>
        <v>1549604.8499999999</v>
      </c>
      <c r="F21" s="242">
        <f>'Прил 6'!L174</f>
        <v>726124.46</v>
      </c>
      <c r="G21" s="289">
        <f t="shared" si="1"/>
        <v>46.858685296448321</v>
      </c>
    </row>
    <row r="22" spans="1:7" ht="15.6">
      <c r="A22" s="22" t="s">
        <v>63</v>
      </c>
      <c r="B22" s="195">
        <v>4</v>
      </c>
      <c r="C22" s="195" t="s">
        <v>341</v>
      </c>
      <c r="D22" s="242">
        <f>SUM(D23:D25)</f>
        <v>51507474.470000014</v>
      </c>
      <c r="E22" s="242">
        <f t="shared" ref="E22:F22" si="4">SUM(E23:E25)</f>
        <v>51526131.469999999</v>
      </c>
      <c r="F22" s="242">
        <f t="shared" si="4"/>
        <v>13771001.760000002</v>
      </c>
      <c r="G22" s="289">
        <f t="shared" si="1"/>
        <v>26.726248152392106</v>
      </c>
    </row>
    <row r="23" spans="1:7" ht="15.6">
      <c r="A23" s="22" t="s">
        <v>66</v>
      </c>
      <c r="B23" s="195">
        <v>4</v>
      </c>
      <c r="C23" s="195">
        <v>9</v>
      </c>
      <c r="D23" s="242">
        <f>'Прил 6'!J193</f>
        <v>51402936.470000014</v>
      </c>
      <c r="E23" s="242">
        <f>'Прил 6'!K193</f>
        <v>51402936.469999999</v>
      </c>
      <c r="F23" s="242">
        <f>'Прил 6'!L193</f>
        <v>13666463.760000002</v>
      </c>
      <c r="G23" s="289">
        <f t="shared" si="1"/>
        <v>26.586931989724132</v>
      </c>
    </row>
    <row r="24" spans="1:7" ht="15.6">
      <c r="A24" s="22" t="s">
        <v>67</v>
      </c>
      <c r="B24" s="195">
        <v>4</v>
      </c>
      <c r="C24" s="195">
        <v>10</v>
      </c>
      <c r="D24" s="242">
        <f>'Прил 6'!J213</f>
        <v>74538</v>
      </c>
      <c r="E24" s="242">
        <f>'Прил 6'!K213</f>
        <v>93195</v>
      </c>
      <c r="F24" s="242">
        <f>'Прил 6'!L213</f>
        <v>74538</v>
      </c>
      <c r="G24" s="289">
        <f t="shared" si="1"/>
        <v>79.98068565910188</v>
      </c>
    </row>
    <row r="25" spans="1:7" ht="15.6">
      <c r="A25" s="22" t="s">
        <v>69</v>
      </c>
      <c r="B25" s="195">
        <v>4</v>
      </c>
      <c r="C25" s="195">
        <v>12</v>
      </c>
      <c r="D25" s="242">
        <f>'Прил 6'!J218</f>
        <v>30000</v>
      </c>
      <c r="E25" s="242">
        <f>'Прил 6'!K218</f>
        <v>30000</v>
      </c>
      <c r="F25" s="242">
        <f>'Прил 6'!L218</f>
        <v>30000</v>
      </c>
      <c r="G25" s="289">
        <f t="shared" si="1"/>
        <v>100</v>
      </c>
    </row>
    <row r="26" spans="1:7" ht="15.6">
      <c r="A26" s="22" t="s">
        <v>621</v>
      </c>
      <c r="B26" s="195">
        <v>5</v>
      </c>
      <c r="C26" s="195" t="s">
        <v>341</v>
      </c>
      <c r="D26" s="242">
        <f>SUM(D27:D30)</f>
        <v>65799341.579999998</v>
      </c>
      <c r="E26" s="242">
        <f t="shared" ref="E26:F26" si="5">SUM(E27:E30)</f>
        <v>65799341.580000006</v>
      </c>
      <c r="F26" s="242">
        <f t="shared" si="5"/>
        <v>61410084.140000001</v>
      </c>
      <c r="G26" s="289">
        <f t="shared" si="1"/>
        <v>93.329329238555573</v>
      </c>
    </row>
    <row r="27" spans="1:7" ht="15.6">
      <c r="A27" s="22" t="s">
        <v>70</v>
      </c>
      <c r="B27" s="195">
        <v>5</v>
      </c>
      <c r="C27" s="195">
        <v>1</v>
      </c>
      <c r="D27" s="242">
        <f>'Прил 6'!J225</f>
        <v>12249695.640000001</v>
      </c>
      <c r="E27" s="242">
        <f>'Прил 6'!K225</f>
        <v>12249695.640000001</v>
      </c>
      <c r="F27" s="242">
        <f>'Прил 6'!L225</f>
        <v>12223156.42</v>
      </c>
      <c r="G27" s="289">
        <f t="shared" si="1"/>
        <v>99.783347923246851</v>
      </c>
    </row>
    <row r="28" spans="1:7" ht="15.6">
      <c r="A28" s="22" t="s">
        <v>71</v>
      </c>
      <c r="B28" s="195">
        <v>5</v>
      </c>
      <c r="C28" s="195">
        <v>2</v>
      </c>
      <c r="D28" s="242">
        <f>'Прил 6'!J242</f>
        <v>689777.63</v>
      </c>
      <c r="E28" s="242">
        <f>'Прил 6'!K242</f>
        <v>689777.63</v>
      </c>
      <c r="F28" s="242">
        <f>'Прил 6'!L242</f>
        <v>689777.63</v>
      </c>
      <c r="G28" s="289">
        <f t="shared" si="1"/>
        <v>100</v>
      </c>
    </row>
    <row r="29" spans="1:7" ht="15.6">
      <c r="A29" s="22" t="s">
        <v>72</v>
      </c>
      <c r="B29" s="195">
        <v>5</v>
      </c>
      <c r="C29" s="195">
        <v>3</v>
      </c>
      <c r="D29" s="242">
        <f>'Прил 6'!J252</f>
        <v>33429962.34</v>
      </c>
      <c r="E29" s="242">
        <f>'Прил 6'!K252</f>
        <v>33429962.340000007</v>
      </c>
      <c r="F29" s="242">
        <f>'Прил 6'!L252</f>
        <v>30675895.75</v>
      </c>
      <c r="G29" s="289">
        <f t="shared" si="1"/>
        <v>91.76168204441953</v>
      </c>
    </row>
    <row r="30" spans="1:7" ht="15.6">
      <c r="A30" s="22" t="s">
        <v>622</v>
      </c>
      <c r="B30" s="195">
        <v>5</v>
      </c>
      <c r="C30" s="195">
        <v>5</v>
      </c>
      <c r="D30" s="242">
        <f>'Прил 6'!J303</f>
        <v>19429905.969999999</v>
      </c>
      <c r="E30" s="242">
        <f>'Прил 6'!K303</f>
        <v>19429905.969999999</v>
      </c>
      <c r="F30" s="242">
        <f>'Прил 6'!L303</f>
        <v>17821254.340000004</v>
      </c>
      <c r="G30" s="289">
        <f t="shared" si="1"/>
        <v>91.720744132865221</v>
      </c>
    </row>
    <row r="31" spans="1:7" ht="15.6">
      <c r="A31" s="22" t="s">
        <v>77</v>
      </c>
      <c r="B31" s="195">
        <v>7</v>
      </c>
      <c r="C31" s="195" t="s">
        <v>341</v>
      </c>
      <c r="D31" s="242">
        <f>SUM(D32:D33)</f>
        <v>2529309.2000000002</v>
      </c>
      <c r="E31" s="242">
        <f t="shared" ref="E31:F31" si="6">SUM(E32:E33)</f>
        <v>2529309.2000000002</v>
      </c>
      <c r="F31" s="242">
        <f t="shared" si="6"/>
        <v>2516309.2000000002</v>
      </c>
      <c r="G31" s="289">
        <f t="shared" si="1"/>
        <v>99.486025670566491</v>
      </c>
    </row>
    <row r="32" spans="1:7" ht="15.6">
      <c r="A32" s="22" t="s">
        <v>78</v>
      </c>
      <c r="B32" s="195">
        <v>7</v>
      </c>
      <c r="C32" s="195">
        <v>5</v>
      </c>
      <c r="D32" s="242">
        <f>'Прил 6'!J328</f>
        <v>23590</v>
      </c>
      <c r="E32" s="242">
        <f>'Прил 6'!K328</f>
        <v>23590</v>
      </c>
      <c r="F32" s="242">
        <f>'Прил 6'!L328</f>
        <v>10590</v>
      </c>
      <c r="G32" s="289">
        <f t="shared" si="1"/>
        <v>44.891903348876646</v>
      </c>
    </row>
    <row r="33" spans="1:7" ht="15.6">
      <c r="A33" s="22" t="s">
        <v>623</v>
      </c>
      <c r="B33" s="195">
        <v>7</v>
      </c>
      <c r="C33" s="195">
        <v>7</v>
      </c>
      <c r="D33" s="242">
        <f>'Прил 6'!J332</f>
        <v>2505719.2000000002</v>
      </c>
      <c r="E33" s="242">
        <f>'Прил 6'!K332</f>
        <v>2505719.2000000002</v>
      </c>
      <c r="F33" s="242">
        <f>'Прил 6'!L332</f>
        <v>2505719.2000000002</v>
      </c>
      <c r="G33" s="289">
        <f t="shared" si="1"/>
        <v>100</v>
      </c>
    </row>
    <row r="34" spans="1:7" ht="15.6">
      <c r="A34" s="22" t="s">
        <v>296</v>
      </c>
      <c r="B34" s="195">
        <v>8</v>
      </c>
      <c r="C34" s="195" t="s">
        <v>341</v>
      </c>
      <c r="D34" s="242">
        <f>SUM(D35:D36)</f>
        <v>38691733.999999993</v>
      </c>
      <c r="E34" s="242">
        <f t="shared" ref="E34:F34" si="7">SUM(E35:E36)</f>
        <v>39241585.68999999</v>
      </c>
      <c r="F34" s="242">
        <f t="shared" si="7"/>
        <v>30049062.470000003</v>
      </c>
      <c r="G34" s="289">
        <f t="shared" si="1"/>
        <v>76.57453678702251</v>
      </c>
    </row>
    <row r="35" spans="1:7" ht="15.6">
      <c r="A35" s="22" t="s">
        <v>80</v>
      </c>
      <c r="B35" s="195">
        <v>8</v>
      </c>
      <c r="C35" s="195">
        <v>1</v>
      </c>
      <c r="D35" s="242">
        <f>'Прил 6'!J340</f>
        <v>38283512.339999996</v>
      </c>
      <c r="E35" s="242">
        <f>'Прил 6'!K340</f>
        <v>38833364.029999994</v>
      </c>
      <c r="F35" s="242">
        <f>'Прил 6'!L340</f>
        <v>29640840.810000002</v>
      </c>
      <c r="G35" s="289">
        <f t="shared" si="1"/>
        <v>76.328285098096373</v>
      </c>
    </row>
    <row r="36" spans="1:7" ht="15.6">
      <c r="A36" s="22" t="s">
        <v>82</v>
      </c>
      <c r="B36" s="195">
        <v>8</v>
      </c>
      <c r="C36" s="195">
        <v>4</v>
      </c>
      <c r="D36" s="242">
        <f>'Прил 6'!J383</f>
        <v>408221.66000000003</v>
      </c>
      <c r="E36" s="242">
        <f>'Прил 6'!K383</f>
        <v>408221.66000000003</v>
      </c>
      <c r="F36" s="242">
        <f>'Прил 6'!L383</f>
        <v>408221.66000000003</v>
      </c>
      <c r="G36" s="289">
        <f t="shared" si="1"/>
        <v>100</v>
      </c>
    </row>
    <row r="37" spans="1:7" ht="15.6">
      <c r="A37" s="22" t="s">
        <v>83</v>
      </c>
      <c r="B37" s="195">
        <v>10</v>
      </c>
      <c r="C37" s="195" t="s">
        <v>341</v>
      </c>
      <c r="D37" s="242">
        <f>D38</f>
        <v>667808</v>
      </c>
      <c r="E37" s="242">
        <f t="shared" ref="E37:F37" si="8">E38</f>
        <v>667808</v>
      </c>
      <c r="F37" s="242">
        <f t="shared" si="8"/>
        <v>501997.5</v>
      </c>
      <c r="G37" s="289">
        <f t="shared" si="1"/>
        <v>75.170932363793185</v>
      </c>
    </row>
    <row r="38" spans="1:7" ht="15.6">
      <c r="A38" s="22" t="s">
        <v>84</v>
      </c>
      <c r="B38" s="195">
        <v>10</v>
      </c>
      <c r="C38" s="195">
        <v>3</v>
      </c>
      <c r="D38" s="242">
        <f>'Прил 6'!J393</f>
        <v>667808</v>
      </c>
      <c r="E38" s="242">
        <f>'Прил 6'!K393</f>
        <v>667808</v>
      </c>
      <c r="F38" s="242">
        <f>'Прил 6'!L393</f>
        <v>501997.5</v>
      </c>
      <c r="G38" s="289">
        <f t="shared" si="1"/>
        <v>75.170932363793185</v>
      </c>
    </row>
    <row r="39" spans="1:7" ht="15.6">
      <c r="A39" s="22" t="s">
        <v>86</v>
      </c>
      <c r="B39" s="195">
        <v>11</v>
      </c>
      <c r="C39" s="195" t="s">
        <v>341</v>
      </c>
      <c r="D39" s="242">
        <f>D40</f>
        <v>3152219.9299999997</v>
      </c>
      <c r="E39" s="242">
        <f t="shared" ref="E39:F39" si="9">E40</f>
        <v>3152219.9299999997</v>
      </c>
      <c r="F39" s="242">
        <f t="shared" si="9"/>
        <v>3074196.91</v>
      </c>
      <c r="G39" s="289">
        <f t="shared" si="1"/>
        <v>97.52482308555166</v>
      </c>
    </row>
    <row r="40" spans="1:7" ht="15.6">
      <c r="A40" s="22" t="s">
        <v>87</v>
      </c>
      <c r="B40" s="195">
        <v>11</v>
      </c>
      <c r="C40" s="195">
        <v>5</v>
      </c>
      <c r="D40" s="242">
        <f>'Прил 6'!J407</f>
        <v>3152219.9299999997</v>
      </c>
      <c r="E40" s="242">
        <f>'Прил 6'!K407</f>
        <v>3152219.9299999997</v>
      </c>
      <c r="F40" s="242">
        <f>'Прил 6'!L407</f>
        <v>3074196.91</v>
      </c>
      <c r="G40" s="289">
        <f t="shared" si="1"/>
        <v>97.52482308555166</v>
      </c>
    </row>
    <row r="41" spans="1:7" ht="15.6">
      <c r="A41" s="22" t="s">
        <v>88</v>
      </c>
      <c r="B41" s="195">
        <v>12</v>
      </c>
      <c r="C41" s="195"/>
      <c r="D41" s="242">
        <f>D42</f>
        <v>1300000</v>
      </c>
      <c r="E41" s="242">
        <f t="shared" ref="E41:F41" si="10">E42</f>
        <v>1300000</v>
      </c>
      <c r="F41" s="242">
        <f t="shared" si="10"/>
        <v>512573.06</v>
      </c>
      <c r="G41" s="289">
        <f t="shared" si="1"/>
        <v>39.42869692307692</v>
      </c>
    </row>
    <row r="42" spans="1:7" ht="15.6">
      <c r="A42" s="22" t="s">
        <v>89</v>
      </c>
      <c r="B42" s="195">
        <v>12</v>
      </c>
      <c r="C42" s="195">
        <v>2</v>
      </c>
      <c r="D42" s="242">
        <f>'Прил 6'!J419</f>
        <v>1300000</v>
      </c>
      <c r="E42" s="242">
        <f>'Прил 6'!K419</f>
        <v>1300000</v>
      </c>
      <c r="F42" s="242">
        <f>'Прил 6'!L419</f>
        <v>512573.06</v>
      </c>
      <c r="G42" s="289">
        <f t="shared" si="1"/>
        <v>39.42869692307692</v>
      </c>
    </row>
    <row r="43" spans="1:7" s="197" customFormat="1" ht="15.6">
      <c r="A43" s="196" t="s">
        <v>91</v>
      </c>
      <c r="B43" s="196" t="s">
        <v>341</v>
      </c>
      <c r="C43" s="196" t="s">
        <v>341</v>
      </c>
      <c r="D43" s="243">
        <f>D11+D17+D19+D22+D26+D31+D34+D37+D39+D41</f>
        <v>189904287.05000001</v>
      </c>
      <c r="E43" s="243">
        <f t="shared" ref="E43:F43" si="11">E11+E17+E19+E22+E26+E31+E34+E37+E39+E41</f>
        <v>190472795.74000001</v>
      </c>
      <c r="F43" s="243">
        <f t="shared" si="11"/>
        <v>134235086.79999998</v>
      </c>
      <c r="G43" s="289">
        <f t="shared" si="1"/>
        <v>70.47467659540952</v>
      </c>
    </row>
    <row r="44" spans="1:7">
      <c r="A44" s="198"/>
      <c r="B44" s="198"/>
      <c r="C44" s="198"/>
      <c r="D44" s="199">
        <f>D43-'Прил 6'!J439</f>
        <v>0</v>
      </c>
      <c r="E44" s="199">
        <f>E43-'Прил 6'!K439</f>
        <v>0</v>
      </c>
      <c r="F44" s="199">
        <f>F43-'Прил 6'!L439</f>
        <v>0</v>
      </c>
    </row>
    <row r="45" spans="1:7">
      <c r="A45" s="200"/>
      <c r="B45" s="200"/>
      <c r="C45" s="200"/>
      <c r="D45" s="200"/>
      <c r="E45" s="200"/>
      <c r="F45" s="200"/>
    </row>
    <row r="46" spans="1:7" ht="15.6">
      <c r="A46" s="201"/>
      <c r="B46" s="200"/>
      <c r="C46" s="200"/>
      <c r="D46" s="200"/>
      <c r="E46" s="200"/>
      <c r="F46" s="201"/>
    </row>
  </sheetData>
  <mergeCells count="7">
    <mergeCell ref="D1:F1"/>
    <mergeCell ref="A8:F8"/>
    <mergeCell ref="D2:F2"/>
    <mergeCell ref="D3:F3"/>
    <mergeCell ref="D4:F4"/>
    <mergeCell ref="D5:F5"/>
    <mergeCell ref="D6:F6"/>
  </mergeCells>
  <pageMargins left="0.78740157480314965" right="0.39370078740157483" top="0.39370078740157483" bottom="0.39370078740157483" header="0.19685039370078741" footer="0.19685039370078741"/>
  <pageSetup paperSize="9" scale="81"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pageSetUpPr fitToPage="1"/>
  </sheetPr>
  <dimension ref="A1:K427"/>
  <sheetViews>
    <sheetView view="pageBreakPreview" topLeftCell="A209" zoomScaleNormal="100" zoomScaleSheetLayoutView="100" workbookViewId="0">
      <selection activeCell="I227" sqref="I227"/>
    </sheetView>
  </sheetViews>
  <sheetFormatPr defaultColWidth="8.88671875" defaultRowHeight="15.6"/>
  <cols>
    <col min="1" max="1" width="81.109375" style="85" customWidth="1"/>
    <col min="2" max="3" width="4.44140625" style="87" customWidth="1"/>
    <col min="4" max="6" width="4.33203125" style="87" customWidth="1"/>
    <col min="7" max="7" width="8.6640625" style="87" customWidth="1"/>
    <col min="8" max="8" width="7.5546875" style="87" customWidth="1"/>
    <col min="9" max="9" width="16.6640625" style="88" customWidth="1"/>
    <col min="10" max="10" width="15.109375" style="86" customWidth="1"/>
    <col min="11" max="11" width="16.109375" style="86" customWidth="1"/>
    <col min="12" max="16384" width="8.88671875" style="86"/>
  </cols>
  <sheetData>
    <row r="1" spans="1:11">
      <c r="B1" s="72"/>
      <c r="C1" s="72"/>
      <c r="D1" s="72"/>
      <c r="E1" s="72"/>
      <c r="F1" s="72"/>
      <c r="G1" s="72"/>
      <c r="H1" s="244" t="s">
        <v>559</v>
      </c>
      <c r="I1" s="244"/>
      <c r="J1" s="244"/>
      <c r="K1" s="244"/>
    </row>
    <row r="2" spans="1:11">
      <c r="A2" s="72"/>
      <c r="B2" s="72"/>
      <c r="C2" s="72"/>
      <c r="D2" s="72"/>
      <c r="E2" s="72"/>
      <c r="F2" s="72"/>
      <c r="G2" s="72"/>
      <c r="H2" s="244" t="s">
        <v>3</v>
      </c>
      <c r="I2" s="244"/>
      <c r="J2" s="244"/>
      <c r="K2" s="244"/>
    </row>
    <row r="3" spans="1:11">
      <c r="A3" s="72"/>
      <c r="B3" s="72"/>
      <c r="C3" s="72"/>
      <c r="D3" s="72"/>
      <c r="E3" s="72"/>
      <c r="F3" s="72"/>
      <c r="G3" s="72"/>
      <c r="H3" s="244" t="s">
        <v>486</v>
      </c>
      <c r="I3" s="244"/>
      <c r="J3" s="244"/>
      <c r="K3" s="244"/>
    </row>
    <row r="4" spans="1:11">
      <c r="A4" s="72"/>
      <c r="B4" s="72"/>
      <c r="C4" s="72"/>
      <c r="D4" s="72"/>
      <c r="E4" s="72"/>
      <c r="F4" s="72"/>
      <c r="G4" s="72"/>
      <c r="H4" s="244" t="s">
        <v>487</v>
      </c>
      <c r="I4" s="244"/>
      <c r="J4" s="244"/>
      <c r="K4" s="244"/>
    </row>
    <row r="5" spans="1:11">
      <c r="A5" s="72"/>
      <c r="B5" s="72"/>
      <c r="C5" s="72"/>
      <c r="D5" s="72"/>
      <c r="E5" s="72"/>
      <c r="F5" s="72"/>
      <c r="G5" s="72"/>
      <c r="H5" s="244" t="s">
        <v>488</v>
      </c>
      <c r="I5" s="244"/>
      <c r="J5" s="244"/>
      <c r="K5" s="244"/>
    </row>
    <row r="6" spans="1:11">
      <c r="A6" s="72"/>
      <c r="B6" s="72"/>
      <c r="C6" s="72"/>
      <c r="D6" s="72"/>
      <c r="E6" s="72"/>
      <c r="F6" s="72"/>
      <c r="G6" s="72"/>
      <c r="H6" s="244" t="s">
        <v>489</v>
      </c>
      <c r="I6" s="244"/>
      <c r="J6" s="244"/>
      <c r="K6" s="244"/>
    </row>
    <row r="7" spans="1:11">
      <c r="B7" s="72"/>
      <c r="C7" s="72"/>
      <c r="D7" s="72"/>
      <c r="E7" s="72"/>
      <c r="F7" s="72"/>
      <c r="G7" s="72"/>
      <c r="H7" s="72"/>
      <c r="I7" s="72"/>
    </row>
    <row r="8" spans="1:11" ht="96.75" customHeight="1">
      <c r="A8" s="255" t="s">
        <v>613</v>
      </c>
      <c r="B8" s="255"/>
      <c r="C8" s="255"/>
      <c r="D8" s="255"/>
      <c r="E8" s="255"/>
      <c r="F8" s="255"/>
      <c r="G8" s="255"/>
      <c r="H8" s="255"/>
      <c r="I8" s="255"/>
      <c r="J8" s="255"/>
      <c r="K8" s="255"/>
    </row>
    <row r="9" spans="1:11">
      <c r="A9" s="2"/>
      <c r="B9" s="3"/>
      <c r="C9" s="3"/>
      <c r="D9" s="3"/>
      <c r="E9" s="3"/>
      <c r="F9" s="3"/>
      <c r="G9" s="3"/>
      <c r="H9" s="3"/>
      <c r="I9" s="4"/>
    </row>
    <row r="10" spans="1:11">
      <c r="A10" s="179"/>
      <c r="B10" s="179"/>
      <c r="C10" s="179"/>
      <c r="D10" s="179"/>
      <c r="E10" s="179"/>
      <c r="F10" s="179"/>
      <c r="G10" s="179"/>
      <c r="H10" s="179"/>
      <c r="I10" s="179"/>
      <c r="K10" s="86" t="s">
        <v>2</v>
      </c>
    </row>
    <row r="11" spans="1:11" ht="88.5" customHeight="1">
      <c r="A11" s="256" t="s">
        <v>6</v>
      </c>
      <c r="B11" s="258" t="s">
        <v>0</v>
      </c>
      <c r="C11" s="259"/>
      <c r="D11" s="259"/>
      <c r="E11" s="259"/>
      <c r="F11" s="259"/>
      <c r="G11" s="259"/>
      <c r="H11" s="260"/>
      <c r="I11" s="261" t="s">
        <v>491</v>
      </c>
      <c r="J11" s="253" t="s">
        <v>490</v>
      </c>
      <c r="K11" s="253" t="s">
        <v>492</v>
      </c>
    </row>
    <row r="12" spans="1:11" ht="131.25" customHeight="1">
      <c r="A12" s="257"/>
      <c r="B12" s="5" t="s">
        <v>7</v>
      </c>
      <c r="C12" s="5" t="s">
        <v>8</v>
      </c>
      <c r="D12" s="258" t="s">
        <v>9</v>
      </c>
      <c r="E12" s="259"/>
      <c r="F12" s="259"/>
      <c r="G12" s="260"/>
      <c r="H12" s="5" t="s">
        <v>10</v>
      </c>
      <c r="I12" s="262"/>
      <c r="J12" s="254"/>
      <c r="K12" s="254"/>
    </row>
    <row r="13" spans="1:11">
      <c r="A13" s="12" t="s">
        <v>11</v>
      </c>
      <c r="B13" s="13">
        <v>1</v>
      </c>
      <c r="C13" s="13"/>
      <c r="D13" s="14"/>
      <c r="E13" s="15"/>
      <c r="F13" s="16"/>
      <c r="G13" s="17"/>
      <c r="H13" s="15"/>
      <c r="I13" s="62">
        <f>I14+I22+I52+I57+I61+I66</f>
        <v>23907583.91</v>
      </c>
      <c r="J13" s="62">
        <f t="shared" ref="J13:K13" si="0">J14+J22+J52+J57+J61+J66</f>
        <v>23907583.91</v>
      </c>
      <c r="K13" s="62">
        <f t="shared" si="0"/>
        <v>20874526.189999998</v>
      </c>
    </row>
    <row r="14" spans="1:11" ht="46.8">
      <c r="A14" s="18" t="s">
        <v>18</v>
      </c>
      <c r="B14" s="83" t="s">
        <v>12</v>
      </c>
      <c r="C14" s="83" t="s">
        <v>19</v>
      </c>
      <c r="D14" s="83" t="s">
        <v>93</v>
      </c>
      <c r="E14" s="84"/>
      <c r="F14" s="83"/>
      <c r="G14" s="83"/>
      <c r="H14" s="84" t="s">
        <v>94</v>
      </c>
      <c r="I14" s="63">
        <f>I15</f>
        <v>1171247.3600000001</v>
      </c>
      <c r="J14" s="63">
        <f t="shared" ref="J14:K16" si="1">J15</f>
        <v>1171247.3599999999</v>
      </c>
      <c r="K14" s="63">
        <f t="shared" si="1"/>
        <v>1161070.8600000001</v>
      </c>
    </row>
    <row r="15" spans="1:11">
      <c r="A15" s="21" t="s">
        <v>95</v>
      </c>
      <c r="B15" s="83" t="s">
        <v>12</v>
      </c>
      <c r="C15" s="83" t="s">
        <v>19</v>
      </c>
      <c r="D15" s="83">
        <v>91</v>
      </c>
      <c r="E15" s="84">
        <v>0</v>
      </c>
      <c r="F15" s="83" t="s">
        <v>14</v>
      </c>
      <c r="G15" s="83" t="s">
        <v>16</v>
      </c>
      <c r="H15" s="84" t="s">
        <v>94</v>
      </c>
      <c r="I15" s="63">
        <f>I16</f>
        <v>1171247.3600000001</v>
      </c>
      <c r="J15" s="63">
        <f t="shared" si="1"/>
        <v>1171247.3599999999</v>
      </c>
      <c r="K15" s="63">
        <f t="shared" si="1"/>
        <v>1161070.8600000001</v>
      </c>
    </row>
    <row r="16" spans="1:11">
      <c r="A16" s="21" t="s">
        <v>96</v>
      </c>
      <c r="B16" s="83" t="s">
        <v>12</v>
      </c>
      <c r="C16" s="83" t="s">
        <v>19</v>
      </c>
      <c r="D16" s="83">
        <v>91</v>
      </c>
      <c r="E16" s="84">
        <v>1</v>
      </c>
      <c r="F16" s="83" t="s">
        <v>15</v>
      </c>
      <c r="G16" s="83" t="s">
        <v>16</v>
      </c>
      <c r="H16" s="84"/>
      <c r="I16" s="63">
        <f>I17</f>
        <v>1171247.3600000001</v>
      </c>
      <c r="J16" s="63">
        <f t="shared" si="1"/>
        <v>1171247.3599999999</v>
      </c>
      <c r="K16" s="63">
        <f t="shared" si="1"/>
        <v>1161070.8600000001</v>
      </c>
    </row>
    <row r="17" spans="1:11" ht="46.8">
      <c r="A17" s="21" t="s">
        <v>97</v>
      </c>
      <c r="B17" s="83" t="s">
        <v>12</v>
      </c>
      <c r="C17" s="83" t="s">
        <v>19</v>
      </c>
      <c r="D17" s="83">
        <v>91</v>
      </c>
      <c r="E17" s="84">
        <v>1</v>
      </c>
      <c r="F17" s="83" t="s">
        <v>15</v>
      </c>
      <c r="G17" s="83" t="s">
        <v>98</v>
      </c>
      <c r="H17" s="84"/>
      <c r="I17" s="63">
        <f>I18+I19</f>
        <v>1171247.3600000001</v>
      </c>
      <c r="J17" s="63">
        <f t="shared" ref="J17:K17" si="2">J18+J19</f>
        <v>1171247.3599999999</v>
      </c>
      <c r="K17" s="63">
        <f t="shared" si="2"/>
        <v>1161070.8600000001</v>
      </c>
    </row>
    <row r="18" spans="1:11">
      <c r="A18" s="21" t="s">
        <v>99</v>
      </c>
      <c r="B18" s="83" t="s">
        <v>12</v>
      </c>
      <c r="C18" s="83" t="s">
        <v>19</v>
      </c>
      <c r="D18" s="83">
        <v>91</v>
      </c>
      <c r="E18" s="84">
        <v>1</v>
      </c>
      <c r="F18" s="83" t="s">
        <v>15</v>
      </c>
      <c r="G18" s="83" t="s">
        <v>98</v>
      </c>
      <c r="H18" s="84">
        <v>120</v>
      </c>
      <c r="I18" s="64">
        <f>'Прил 6'!J430</f>
        <v>1170247.3600000001</v>
      </c>
      <c r="J18" s="64">
        <f>'Прил 6'!K430</f>
        <v>1170247.3599999999</v>
      </c>
      <c r="K18" s="64">
        <f>'Прил 6'!L430</f>
        <v>1161013.5900000001</v>
      </c>
    </row>
    <row r="19" spans="1:11" ht="46.8">
      <c r="A19" s="21" t="s">
        <v>100</v>
      </c>
      <c r="B19" s="83" t="s">
        <v>12</v>
      </c>
      <c r="C19" s="83" t="s">
        <v>19</v>
      </c>
      <c r="D19" s="83">
        <v>91</v>
      </c>
      <c r="E19" s="84">
        <v>1</v>
      </c>
      <c r="F19" s="83" t="s">
        <v>15</v>
      </c>
      <c r="G19" s="83" t="s">
        <v>101</v>
      </c>
      <c r="H19" s="84"/>
      <c r="I19" s="64">
        <f>SUM(I20:I21)</f>
        <v>1000</v>
      </c>
      <c r="J19" s="64">
        <f t="shared" ref="J19:K19" si="3">SUM(J20:J21)</f>
        <v>1000</v>
      </c>
      <c r="K19" s="64">
        <f t="shared" si="3"/>
        <v>57.27</v>
      </c>
    </row>
    <row r="20" spans="1:11" ht="31.2" hidden="1">
      <c r="A20" s="22" t="s">
        <v>22</v>
      </c>
      <c r="B20" s="83" t="s">
        <v>12</v>
      </c>
      <c r="C20" s="83" t="s">
        <v>19</v>
      </c>
      <c r="D20" s="83">
        <v>91</v>
      </c>
      <c r="E20" s="84">
        <v>1</v>
      </c>
      <c r="F20" s="83" t="s">
        <v>15</v>
      </c>
      <c r="G20" s="83" t="s">
        <v>101</v>
      </c>
      <c r="H20" s="84">
        <v>240</v>
      </c>
      <c r="I20" s="64"/>
      <c r="J20" s="64"/>
      <c r="K20" s="64"/>
    </row>
    <row r="21" spans="1:11">
      <c r="A21" s="22" t="s">
        <v>24</v>
      </c>
      <c r="B21" s="83" t="s">
        <v>12</v>
      </c>
      <c r="C21" s="83" t="s">
        <v>19</v>
      </c>
      <c r="D21" s="83">
        <v>91</v>
      </c>
      <c r="E21" s="84">
        <v>1</v>
      </c>
      <c r="F21" s="83" t="s">
        <v>15</v>
      </c>
      <c r="G21" s="83" t="s">
        <v>101</v>
      </c>
      <c r="H21" s="84">
        <v>850</v>
      </c>
      <c r="I21" s="64">
        <f>'Прил 6'!J433</f>
        <v>1000</v>
      </c>
      <c r="J21" s="64">
        <f>'Прил 6'!K433</f>
        <v>1000</v>
      </c>
      <c r="K21" s="64">
        <f>'Прил 6'!L433</f>
        <v>57.27</v>
      </c>
    </row>
    <row r="22" spans="1:11" ht="46.8">
      <c r="A22" s="21" t="s">
        <v>30</v>
      </c>
      <c r="B22" s="83" t="s">
        <v>12</v>
      </c>
      <c r="C22" s="84" t="s">
        <v>31</v>
      </c>
      <c r="D22" s="83" t="s">
        <v>93</v>
      </c>
      <c r="E22" s="84"/>
      <c r="F22" s="83"/>
      <c r="G22" s="83"/>
      <c r="H22" s="84" t="s">
        <v>94</v>
      </c>
      <c r="I22" s="64">
        <f>I23+I27+I41</f>
        <v>12361982.23</v>
      </c>
      <c r="J22" s="64">
        <f t="shared" ref="J22:K22" si="4">J23+J27+J41</f>
        <v>12361982.23</v>
      </c>
      <c r="K22" s="64">
        <f t="shared" si="4"/>
        <v>12264683.23</v>
      </c>
    </row>
    <row r="23" spans="1:11" ht="46.8" hidden="1">
      <c r="A23" s="21" t="s">
        <v>102</v>
      </c>
      <c r="B23" s="83" t="s">
        <v>12</v>
      </c>
      <c r="C23" s="83" t="s">
        <v>31</v>
      </c>
      <c r="D23" s="83" t="s">
        <v>42</v>
      </c>
      <c r="E23" s="84">
        <v>0</v>
      </c>
      <c r="F23" s="83" t="s">
        <v>15</v>
      </c>
      <c r="G23" s="83" t="s">
        <v>16</v>
      </c>
      <c r="H23" s="84"/>
      <c r="I23" s="64">
        <f>I24</f>
        <v>0</v>
      </c>
      <c r="J23" s="64">
        <f t="shared" ref="J23:K25" si="5">J24</f>
        <v>0</v>
      </c>
      <c r="K23" s="64">
        <f t="shared" si="5"/>
        <v>0</v>
      </c>
    </row>
    <row r="24" spans="1:11" hidden="1">
      <c r="A24" s="22" t="s">
        <v>103</v>
      </c>
      <c r="B24" s="83" t="s">
        <v>12</v>
      </c>
      <c r="C24" s="83" t="s">
        <v>31</v>
      </c>
      <c r="D24" s="83" t="s">
        <v>42</v>
      </c>
      <c r="E24" s="83" t="s">
        <v>14</v>
      </c>
      <c r="F24" s="83" t="s">
        <v>12</v>
      </c>
      <c r="G24" s="83" t="s">
        <v>16</v>
      </c>
      <c r="H24" s="83"/>
      <c r="I24" s="64">
        <f>I25</f>
        <v>0</v>
      </c>
      <c r="J24" s="64">
        <f t="shared" si="5"/>
        <v>0</v>
      </c>
      <c r="K24" s="64">
        <f t="shared" si="5"/>
        <v>0</v>
      </c>
    </row>
    <row r="25" spans="1:11" hidden="1">
      <c r="A25" s="22" t="s">
        <v>103</v>
      </c>
      <c r="B25" s="83" t="s">
        <v>12</v>
      </c>
      <c r="C25" s="83" t="s">
        <v>31</v>
      </c>
      <c r="D25" s="83" t="s">
        <v>42</v>
      </c>
      <c r="E25" s="83" t="s">
        <v>14</v>
      </c>
      <c r="F25" s="83" t="s">
        <v>12</v>
      </c>
      <c r="G25" s="83" t="s">
        <v>104</v>
      </c>
      <c r="H25" s="83"/>
      <c r="I25" s="64">
        <f>I26</f>
        <v>0</v>
      </c>
      <c r="J25" s="64">
        <f t="shared" si="5"/>
        <v>0</v>
      </c>
      <c r="K25" s="64">
        <f t="shared" si="5"/>
        <v>0</v>
      </c>
    </row>
    <row r="26" spans="1:11" ht="31.2" hidden="1">
      <c r="A26" s="22" t="s">
        <v>22</v>
      </c>
      <c r="B26" s="83" t="s">
        <v>12</v>
      </c>
      <c r="C26" s="83" t="s">
        <v>31</v>
      </c>
      <c r="D26" s="83" t="s">
        <v>42</v>
      </c>
      <c r="E26" s="83" t="s">
        <v>14</v>
      </c>
      <c r="F26" s="83" t="s">
        <v>12</v>
      </c>
      <c r="G26" s="83" t="s">
        <v>104</v>
      </c>
      <c r="H26" s="83" t="s">
        <v>23</v>
      </c>
      <c r="I26" s="64">
        <f>'Прил 6'!J18</f>
        <v>0</v>
      </c>
      <c r="J26" s="64">
        <f>'Прил 6'!K18</f>
        <v>0</v>
      </c>
      <c r="K26" s="64">
        <f>'Прил 6'!L18</f>
        <v>0</v>
      </c>
    </row>
    <row r="27" spans="1:11">
      <c r="A27" s="21" t="s">
        <v>105</v>
      </c>
      <c r="B27" s="83" t="s">
        <v>12</v>
      </c>
      <c r="C27" s="84" t="s">
        <v>31</v>
      </c>
      <c r="D27" s="83">
        <v>92</v>
      </c>
      <c r="E27" s="84">
        <v>0</v>
      </c>
      <c r="F27" s="83" t="s">
        <v>15</v>
      </c>
      <c r="G27" s="83" t="s">
        <v>16</v>
      </c>
      <c r="H27" s="84"/>
      <c r="I27" s="64">
        <f>I28+I31</f>
        <v>11554082.23</v>
      </c>
      <c r="J27" s="64">
        <f t="shared" ref="J27:K27" si="6">J28+J31</f>
        <v>11554082.23</v>
      </c>
      <c r="K27" s="64">
        <f t="shared" si="6"/>
        <v>11457283.23</v>
      </c>
    </row>
    <row r="28" spans="1:11">
      <c r="A28" s="23" t="s">
        <v>106</v>
      </c>
      <c r="B28" s="83" t="s">
        <v>12</v>
      </c>
      <c r="C28" s="84" t="s">
        <v>31</v>
      </c>
      <c r="D28" s="83">
        <v>92</v>
      </c>
      <c r="E28" s="84">
        <v>1</v>
      </c>
      <c r="F28" s="83" t="s">
        <v>15</v>
      </c>
      <c r="G28" s="83" t="s">
        <v>16</v>
      </c>
      <c r="H28" s="84"/>
      <c r="I28" s="64">
        <f>I29</f>
        <v>1268438.55</v>
      </c>
      <c r="J28" s="64">
        <f t="shared" ref="J28:K29" si="7">J29</f>
        <v>1268438.55</v>
      </c>
      <c r="K28" s="64">
        <f t="shared" si="7"/>
        <v>1266247.67</v>
      </c>
    </row>
    <row r="29" spans="1:11" ht="46.8">
      <c r="A29" s="23" t="s">
        <v>107</v>
      </c>
      <c r="B29" s="83" t="s">
        <v>12</v>
      </c>
      <c r="C29" s="84" t="s">
        <v>31</v>
      </c>
      <c r="D29" s="83">
        <v>92</v>
      </c>
      <c r="E29" s="84">
        <v>1</v>
      </c>
      <c r="F29" s="83" t="s">
        <v>15</v>
      </c>
      <c r="G29" s="83" t="s">
        <v>98</v>
      </c>
      <c r="H29" s="84"/>
      <c r="I29" s="64">
        <f>I30</f>
        <v>1268438.55</v>
      </c>
      <c r="J29" s="64">
        <f t="shared" si="7"/>
        <v>1268438.55</v>
      </c>
      <c r="K29" s="64">
        <f t="shared" si="7"/>
        <v>1266247.67</v>
      </c>
    </row>
    <row r="30" spans="1:11">
      <c r="A30" s="21" t="s">
        <v>99</v>
      </c>
      <c r="B30" s="83" t="s">
        <v>12</v>
      </c>
      <c r="C30" s="84" t="s">
        <v>31</v>
      </c>
      <c r="D30" s="83">
        <v>92</v>
      </c>
      <c r="E30" s="84">
        <v>1</v>
      </c>
      <c r="F30" s="83" t="s">
        <v>15</v>
      </c>
      <c r="G30" s="83" t="s">
        <v>98</v>
      </c>
      <c r="H30" s="84">
        <v>120</v>
      </c>
      <c r="I30" s="64">
        <f>'Прил 6'!J22</f>
        <v>1268438.55</v>
      </c>
      <c r="J30" s="64">
        <f>'Прил 6'!K22</f>
        <v>1268438.55</v>
      </c>
      <c r="K30" s="64">
        <f>'Прил 6'!L22</f>
        <v>1266247.67</v>
      </c>
    </row>
    <row r="31" spans="1:11">
      <c r="A31" s="22" t="s">
        <v>108</v>
      </c>
      <c r="B31" s="83" t="s">
        <v>12</v>
      </c>
      <c r="C31" s="84" t="s">
        <v>31</v>
      </c>
      <c r="D31" s="83">
        <v>92</v>
      </c>
      <c r="E31" s="84">
        <v>2</v>
      </c>
      <c r="F31" s="83" t="s">
        <v>15</v>
      </c>
      <c r="G31" s="83" t="s">
        <v>16</v>
      </c>
      <c r="H31" s="84"/>
      <c r="I31" s="64">
        <f>I32+I34+I38</f>
        <v>10285643.68</v>
      </c>
      <c r="J31" s="64">
        <f t="shared" ref="J31:K31" si="8">J32+J34+J38</f>
        <v>10285643.68</v>
      </c>
      <c r="K31" s="64">
        <f t="shared" si="8"/>
        <v>10191035.560000001</v>
      </c>
    </row>
    <row r="32" spans="1:11" ht="46.8">
      <c r="A32" s="22" t="s">
        <v>107</v>
      </c>
      <c r="B32" s="83" t="s">
        <v>12</v>
      </c>
      <c r="C32" s="84" t="s">
        <v>31</v>
      </c>
      <c r="D32" s="83">
        <v>92</v>
      </c>
      <c r="E32" s="84">
        <v>2</v>
      </c>
      <c r="F32" s="83" t="s">
        <v>15</v>
      </c>
      <c r="G32" s="83" t="s">
        <v>98</v>
      </c>
      <c r="H32" s="84"/>
      <c r="I32" s="64">
        <f>I33</f>
        <v>9595322.879999999</v>
      </c>
      <c r="J32" s="64">
        <f t="shared" ref="J32:K32" si="9">J33</f>
        <v>9595322.879999999</v>
      </c>
      <c r="K32" s="64">
        <f t="shared" si="9"/>
        <v>9554109.6600000001</v>
      </c>
    </row>
    <row r="33" spans="1:11">
      <c r="A33" s="21" t="s">
        <v>99</v>
      </c>
      <c r="B33" s="83" t="s">
        <v>12</v>
      </c>
      <c r="C33" s="84" t="s">
        <v>31</v>
      </c>
      <c r="D33" s="83">
        <v>92</v>
      </c>
      <c r="E33" s="84">
        <v>2</v>
      </c>
      <c r="F33" s="83" t="s">
        <v>15</v>
      </c>
      <c r="G33" s="83" t="s">
        <v>98</v>
      </c>
      <c r="H33" s="84">
        <v>120</v>
      </c>
      <c r="I33" s="64">
        <f>'Прил 6'!J25</f>
        <v>9595322.879999999</v>
      </c>
      <c r="J33" s="64">
        <f>'Прил 6'!K25</f>
        <v>9595322.879999999</v>
      </c>
      <c r="K33" s="64">
        <f>'Прил 6'!L25</f>
        <v>9554109.6600000001</v>
      </c>
    </row>
    <row r="34" spans="1:11" ht="46.8">
      <c r="A34" s="22" t="s">
        <v>109</v>
      </c>
      <c r="B34" s="83" t="s">
        <v>12</v>
      </c>
      <c r="C34" s="84" t="s">
        <v>31</v>
      </c>
      <c r="D34" s="83">
        <v>92</v>
      </c>
      <c r="E34" s="84">
        <v>2</v>
      </c>
      <c r="F34" s="83" t="s">
        <v>15</v>
      </c>
      <c r="G34" s="83" t="s">
        <v>101</v>
      </c>
      <c r="H34" s="84"/>
      <c r="I34" s="64">
        <f>SUM(I35:I37)</f>
        <v>630320.80000000005</v>
      </c>
      <c r="J34" s="64">
        <f t="shared" ref="J34:K34" si="10">SUM(J35:J37)</f>
        <v>630320.80000000005</v>
      </c>
      <c r="K34" s="64">
        <f t="shared" si="10"/>
        <v>576925.9</v>
      </c>
    </row>
    <row r="35" spans="1:11">
      <c r="A35" s="21" t="s">
        <v>99</v>
      </c>
      <c r="B35" s="83" t="s">
        <v>12</v>
      </c>
      <c r="C35" s="84" t="s">
        <v>31</v>
      </c>
      <c r="D35" s="83">
        <v>92</v>
      </c>
      <c r="E35" s="84">
        <v>2</v>
      </c>
      <c r="F35" s="83" t="s">
        <v>15</v>
      </c>
      <c r="G35" s="83" t="s">
        <v>101</v>
      </c>
      <c r="H35" s="84">
        <v>120</v>
      </c>
      <c r="I35" s="64">
        <f>'Прил 6'!J27</f>
        <v>4800</v>
      </c>
      <c r="J35" s="64">
        <f>'Прил 6'!K27</f>
        <v>4800</v>
      </c>
      <c r="K35" s="64">
        <f>'Прил 6'!L27</f>
        <v>4800</v>
      </c>
    </row>
    <row r="36" spans="1:11" ht="31.2">
      <c r="A36" s="22" t="s">
        <v>22</v>
      </c>
      <c r="B36" s="83" t="s">
        <v>12</v>
      </c>
      <c r="C36" s="84" t="s">
        <v>31</v>
      </c>
      <c r="D36" s="83">
        <v>92</v>
      </c>
      <c r="E36" s="84">
        <v>2</v>
      </c>
      <c r="F36" s="83" t="s">
        <v>15</v>
      </c>
      <c r="G36" s="83" t="s">
        <v>101</v>
      </c>
      <c r="H36" s="84">
        <v>240</v>
      </c>
      <c r="I36" s="64">
        <f>'Прил 6'!J28</f>
        <v>618731.80000000005</v>
      </c>
      <c r="J36" s="64">
        <f>'Прил 6'!K28</f>
        <v>616384.80000000005</v>
      </c>
      <c r="K36" s="64">
        <f>'Прил 6'!L28</f>
        <v>562989.9</v>
      </c>
    </row>
    <row r="37" spans="1:11">
      <c r="A37" s="22" t="s">
        <v>24</v>
      </c>
      <c r="B37" s="83" t="s">
        <v>12</v>
      </c>
      <c r="C37" s="84" t="s">
        <v>31</v>
      </c>
      <c r="D37" s="83">
        <v>92</v>
      </c>
      <c r="E37" s="84">
        <v>2</v>
      </c>
      <c r="F37" s="83" t="s">
        <v>15</v>
      </c>
      <c r="G37" s="83" t="s">
        <v>101</v>
      </c>
      <c r="H37" s="84">
        <v>850</v>
      </c>
      <c r="I37" s="64">
        <f>'Прил 6'!J29</f>
        <v>6789</v>
      </c>
      <c r="J37" s="64">
        <f>'Прил 6'!K29</f>
        <v>9136</v>
      </c>
      <c r="K37" s="64">
        <f>'Прил 6'!L29</f>
        <v>9136</v>
      </c>
    </row>
    <row r="38" spans="1:11" ht="46.8">
      <c r="A38" s="22" t="s">
        <v>406</v>
      </c>
      <c r="B38" s="83" t="s">
        <v>12</v>
      </c>
      <c r="C38" s="84" t="s">
        <v>31</v>
      </c>
      <c r="D38" s="83">
        <v>92</v>
      </c>
      <c r="E38" s="84">
        <v>2</v>
      </c>
      <c r="F38" s="83" t="s">
        <v>15</v>
      </c>
      <c r="G38" s="83" t="s">
        <v>405</v>
      </c>
      <c r="H38" s="84"/>
      <c r="I38" s="64">
        <f>SUM(I39:I40)</f>
        <v>60000</v>
      </c>
      <c r="J38" s="64">
        <f t="shared" ref="J38:K38" si="11">SUM(J39:J40)</f>
        <v>60000</v>
      </c>
      <c r="K38" s="64">
        <f t="shared" si="11"/>
        <v>60000</v>
      </c>
    </row>
    <row r="39" spans="1:11">
      <c r="A39" s="21" t="s">
        <v>99</v>
      </c>
      <c r="B39" s="83" t="s">
        <v>12</v>
      </c>
      <c r="C39" s="84" t="s">
        <v>31</v>
      </c>
      <c r="D39" s="83">
        <v>92</v>
      </c>
      <c r="E39" s="84">
        <v>2</v>
      </c>
      <c r="F39" s="83" t="s">
        <v>15</v>
      </c>
      <c r="G39" s="83" t="s">
        <v>405</v>
      </c>
      <c r="H39" s="84">
        <v>120</v>
      </c>
      <c r="I39" s="64">
        <f>'Прил 6'!J31</f>
        <v>29295</v>
      </c>
      <c r="J39" s="64">
        <f>'Прил 6'!K31</f>
        <v>29295</v>
      </c>
      <c r="K39" s="64">
        <f>'Прил 6'!L31</f>
        <v>29295</v>
      </c>
    </row>
    <row r="40" spans="1:11" ht="31.2">
      <c r="A40" s="22" t="s">
        <v>22</v>
      </c>
      <c r="B40" s="83" t="s">
        <v>12</v>
      </c>
      <c r="C40" s="84" t="s">
        <v>31</v>
      </c>
      <c r="D40" s="83">
        <v>92</v>
      </c>
      <c r="E40" s="84">
        <v>2</v>
      </c>
      <c r="F40" s="83" t="s">
        <v>15</v>
      </c>
      <c r="G40" s="83" t="s">
        <v>405</v>
      </c>
      <c r="H40" s="84">
        <v>240</v>
      </c>
      <c r="I40" s="64">
        <f>'Прил 6'!J32</f>
        <v>30705</v>
      </c>
      <c r="J40" s="64">
        <f>'Прил 6'!K32</f>
        <v>30705</v>
      </c>
      <c r="K40" s="64">
        <f>'Прил 6'!L32</f>
        <v>30705</v>
      </c>
    </row>
    <row r="41" spans="1:11">
      <c r="A41" s="22" t="s">
        <v>110</v>
      </c>
      <c r="B41" s="83" t="s">
        <v>12</v>
      </c>
      <c r="C41" s="84" t="s">
        <v>31</v>
      </c>
      <c r="D41" s="83">
        <v>97</v>
      </c>
      <c r="E41" s="84">
        <v>0</v>
      </c>
      <c r="F41" s="83" t="s">
        <v>15</v>
      </c>
      <c r="G41" s="83" t="s">
        <v>16</v>
      </c>
      <c r="H41" s="84"/>
      <c r="I41" s="64">
        <f>I42</f>
        <v>807900</v>
      </c>
      <c r="J41" s="64">
        <f t="shared" ref="J41:K41" si="12">J42</f>
        <v>807900</v>
      </c>
      <c r="K41" s="64">
        <f t="shared" si="12"/>
        <v>807400</v>
      </c>
    </row>
    <row r="42" spans="1:11" ht="46.8">
      <c r="A42" s="22" t="s">
        <v>111</v>
      </c>
      <c r="B42" s="83" t="s">
        <v>12</v>
      </c>
      <c r="C42" s="84" t="s">
        <v>31</v>
      </c>
      <c r="D42" s="83">
        <v>97</v>
      </c>
      <c r="E42" s="84">
        <v>2</v>
      </c>
      <c r="F42" s="83" t="s">
        <v>15</v>
      </c>
      <c r="G42" s="83" t="s">
        <v>16</v>
      </c>
      <c r="H42" s="84"/>
      <c r="I42" s="64">
        <f>I44+I46+I48+I50</f>
        <v>807900</v>
      </c>
      <c r="J42" s="64">
        <f t="shared" ref="J42:K42" si="13">J44+J46+J48+J50</f>
        <v>807900</v>
      </c>
      <c r="K42" s="64">
        <f t="shared" si="13"/>
        <v>807400</v>
      </c>
    </row>
    <row r="43" spans="1:11" ht="180">
      <c r="A43" s="24" t="s">
        <v>112</v>
      </c>
      <c r="B43" s="263" t="s">
        <v>12</v>
      </c>
      <c r="C43" s="263" t="s">
        <v>31</v>
      </c>
      <c r="D43" s="263" t="s">
        <v>113</v>
      </c>
      <c r="E43" s="264">
        <v>2</v>
      </c>
      <c r="F43" s="263" t="s">
        <v>15</v>
      </c>
      <c r="G43" s="263" t="s">
        <v>114</v>
      </c>
      <c r="H43" s="84"/>
      <c r="I43" s="64"/>
      <c r="J43" s="64"/>
      <c r="K43" s="64"/>
    </row>
    <row r="44" spans="1:11" ht="138.6">
      <c r="A44" s="24" t="s">
        <v>115</v>
      </c>
      <c r="B44" s="263"/>
      <c r="C44" s="263"/>
      <c r="D44" s="263"/>
      <c r="E44" s="264"/>
      <c r="F44" s="263"/>
      <c r="G44" s="263"/>
      <c r="H44" s="84"/>
      <c r="I44" s="64">
        <f>I45</f>
        <v>388000</v>
      </c>
      <c r="J44" s="64">
        <f t="shared" ref="J44:K44" si="14">J45</f>
        <v>388000</v>
      </c>
      <c r="K44" s="64">
        <f t="shared" si="14"/>
        <v>387500</v>
      </c>
    </row>
    <row r="45" spans="1:11">
      <c r="A45" s="27" t="s">
        <v>116</v>
      </c>
      <c r="B45" s="83" t="s">
        <v>12</v>
      </c>
      <c r="C45" s="83" t="s">
        <v>31</v>
      </c>
      <c r="D45" s="83" t="s">
        <v>113</v>
      </c>
      <c r="E45" s="84">
        <v>2</v>
      </c>
      <c r="F45" s="83" t="s">
        <v>15</v>
      </c>
      <c r="G45" s="83" t="s">
        <v>114</v>
      </c>
      <c r="H45" s="84">
        <v>540</v>
      </c>
      <c r="I45" s="64">
        <f>'Прил 6'!J39</f>
        <v>388000</v>
      </c>
      <c r="J45" s="64">
        <f>'Прил 6'!K39</f>
        <v>388000</v>
      </c>
      <c r="K45" s="64">
        <f>'Прил 6'!L39</f>
        <v>387500</v>
      </c>
    </row>
    <row r="46" spans="1:11" ht="31.2">
      <c r="A46" s="22" t="s">
        <v>117</v>
      </c>
      <c r="B46" s="83" t="s">
        <v>12</v>
      </c>
      <c r="C46" s="84" t="s">
        <v>31</v>
      </c>
      <c r="D46" s="83">
        <v>97</v>
      </c>
      <c r="E46" s="84">
        <v>2</v>
      </c>
      <c r="F46" s="83" t="s">
        <v>15</v>
      </c>
      <c r="G46" s="83" t="s">
        <v>118</v>
      </c>
      <c r="H46" s="84"/>
      <c r="I46" s="64">
        <f>I47</f>
        <v>142800</v>
      </c>
      <c r="J46" s="64">
        <f t="shared" ref="J46:K46" si="15">J47</f>
        <v>142800</v>
      </c>
      <c r="K46" s="64">
        <f t="shared" si="15"/>
        <v>142800</v>
      </c>
    </row>
    <row r="47" spans="1:11">
      <c r="A47" s="27" t="s">
        <v>116</v>
      </c>
      <c r="B47" s="83" t="s">
        <v>12</v>
      </c>
      <c r="C47" s="84" t="s">
        <v>31</v>
      </c>
      <c r="D47" s="83">
        <v>97</v>
      </c>
      <c r="E47" s="84">
        <v>2</v>
      </c>
      <c r="F47" s="83" t="s">
        <v>15</v>
      </c>
      <c r="G47" s="83" t="s">
        <v>118</v>
      </c>
      <c r="H47" s="84">
        <v>540</v>
      </c>
      <c r="I47" s="64">
        <f>'Прил 6'!J41</f>
        <v>142800</v>
      </c>
      <c r="J47" s="64">
        <f>'Прил 6'!K41</f>
        <v>142800</v>
      </c>
      <c r="K47" s="64">
        <f>'Прил 6'!L41</f>
        <v>142800</v>
      </c>
    </row>
    <row r="48" spans="1:11" ht="31.2">
      <c r="A48" s="22" t="s">
        <v>119</v>
      </c>
      <c r="B48" s="83" t="s">
        <v>12</v>
      </c>
      <c r="C48" s="84" t="s">
        <v>31</v>
      </c>
      <c r="D48" s="83">
        <v>97</v>
      </c>
      <c r="E48" s="84">
        <v>2</v>
      </c>
      <c r="F48" s="83" t="s">
        <v>15</v>
      </c>
      <c r="G48" s="83" t="s">
        <v>120</v>
      </c>
      <c r="H48" s="84"/>
      <c r="I48" s="64">
        <f>I49</f>
        <v>109200</v>
      </c>
      <c r="J48" s="64">
        <f t="shared" ref="J48:K48" si="16">J49</f>
        <v>109200</v>
      </c>
      <c r="K48" s="64">
        <f t="shared" si="16"/>
        <v>109200</v>
      </c>
    </row>
    <row r="49" spans="1:11">
      <c r="A49" s="27" t="s">
        <v>116</v>
      </c>
      <c r="B49" s="83" t="s">
        <v>12</v>
      </c>
      <c r="C49" s="84" t="s">
        <v>31</v>
      </c>
      <c r="D49" s="83">
        <v>97</v>
      </c>
      <c r="E49" s="84">
        <v>2</v>
      </c>
      <c r="F49" s="83" t="s">
        <v>15</v>
      </c>
      <c r="G49" s="83" t="s">
        <v>120</v>
      </c>
      <c r="H49" s="84">
        <v>540</v>
      </c>
      <c r="I49" s="64">
        <f>'Прил 6'!J43</f>
        <v>109200</v>
      </c>
      <c r="J49" s="64">
        <f>'Прил 6'!K43</f>
        <v>109200</v>
      </c>
      <c r="K49" s="64">
        <f>'Прил 6'!L43</f>
        <v>109200</v>
      </c>
    </row>
    <row r="50" spans="1:11" ht="46.8">
      <c r="A50" s="22" t="s">
        <v>121</v>
      </c>
      <c r="B50" s="83" t="s">
        <v>12</v>
      </c>
      <c r="C50" s="84" t="s">
        <v>31</v>
      </c>
      <c r="D50" s="83">
        <v>97</v>
      </c>
      <c r="E50" s="84">
        <v>2</v>
      </c>
      <c r="F50" s="83" t="s">
        <v>15</v>
      </c>
      <c r="G50" s="83" t="s">
        <v>122</v>
      </c>
      <c r="H50" s="84"/>
      <c r="I50" s="64">
        <f>I51</f>
        <v>167900</v>
      </c>
      <c r="J50" s="64">
        <f t="shared" ref="J50:K50" si="17">J51</f>
        <v>167900</v>
      </c>
      <c r="K50" s="64">
        <f t="shared" si="17"/>
        <v>167900</v>
      </c>
    </row>
    <row r="51" spans="1:11">
      <c r="A51" s="27" t="s">
        <v>116</v>
      </c>
      <c r="B51" s="83" t="s">
        <v>12</v>
      </c>
      <c r="C51" s="84" t="s">
        <v>31</v>
      </c>
      <c r="D51" s="83">
        <v>97</v>
      </c>
      <c r="E51" s="84">
        <v>2</v>
      </c>
      <c r="F51" s="83" t="s">
        <v>15</v>
      </c>
      <c r="G51" s="83" t="s">
        <v>122</v>
      </c>
      <c r="H51" s="84">
        <v>540</v>
      </c>
      <c r="I51" s="64">
        <f>'Прил 6'!J45</f>
        <v>167900</v>
      </c>
      <c r="J51" s="64">
        <f>'Прил 6'!K45</f>
        <v>167900</v>
      </c>
      <c r="K51" s="64">
        <f>'Прил 6'!L45</f>
        <v>167900</v>
      </c>
    </row>
    <row r="52" spans="1:11" ht="31.2">
      <c r="A52" s="22" t="s">
        <v>33</v>
      </c>
      <c r="B52" s="83" t="s">
        <v>12</v>
      </c>
      <c r="C52" s="83" t="s">
        <v>34</v>
      </c>
      <c r="D52" s="83"/>
      <c r="E52" s="83"/>
      <c r="F52" s="83"/>
      <c r="G52" s="83"/>
      <c r="H52" s="83"/>
      <c r="I52" s="64">
        <f>I53</f>
        <v>211300</v>
      </c>
      <c r="J52" s="64">
        <f t="shared" ref="J52:K55" si="18">J53</f>
        <v>211300</v>
      </c>
      <c r="K52" s="64">
        <f t="shared" si="18"/>
        <v>211300</v>
      </c>
    </row>
    <row r="53" spans="1:11">
      <c r="A53" s="22" t="s">
        <v>116</v>
      </c>
      <c r="B53" s="83" t="s">
        <v>12</v>
      </c>
      <c r="C53" s="83" t="s">
        <v>34</v>
      </c>
      <c r="D53" s="83" t="s">
        <v>113</v>
      </c>
      <c r="E53" s="83" t="s">
        <v>14</v>
      </c>
      <c r="F53" s="83" t="s">
        <v>15</v>
      </c>
      <c r="G53" s="83" t="s">
        <v>16</v>
      </c>
      <c r="H53" s="83"/>
      <c r="I53" s="64">
        <f>I54</f>
        <v>211300</v>
      </c>
      <c r="J53" s="64">
        <f t="shared" si="18"/>
        <v>211300</v>
      </c>
      <c r="K53" s="64">
        <f t="shared" si="18"/>
        <v>211300</v>
      </c>
    </row>
    <row r="54" spans="1:11" ht="46.8">
      <c r="A54" s="22" t="s">
        <v>111</v>
      </c>
      <c r="B54" s="83" t="s">
        <v>12</v>
      </c>
      <c r="C54" s="83" t="s">
        <v>34</v>
      </c>
      <c r="D54" s="83" t="s">
        <v>113</v>
      </c>
      <c r="E54" s="83" t="s">
        <v>20</v>
      </c>
      <c r="F54" s="83" t="s">
        <v>15</v>
      </c>
      <c r="G54" s="83" t="s">
        <v>16</v>
      </c>
      <c r="H54" s="83"/>
      <c r="I54" s="64">
        <f>I55</f>
        <v>211300</v>
      </c>
      <c r="J54" s="64">
        <f t="shared" si="18"/>
        <v>211300</v>
      </c>
      <c r="K54" s="64">
        <f t="shared" si="18"/>
        <v>211300</v>
      </c>
    </row>
    <row r="55" spans="1:11" ht="31.2">
      <c r="A55" s="22" t="s">
        <v>123</v>
      </c>
      <c r="B55" s="83" t="s">
        <v>12</v>
      </c>
      <c r="C55" s="83" t="s">
        <v>34</v>
      </c>
      <c r="D55" s="83">
        <v>97</v>
      </c>
      <c r="E55" s="84">
        <v>2</v>
      </c>
      <c r="F55" s="83" t="s">
        <v>15</v>
      </c>
      <c r="G55" s="83" t="s">
        <v>124</v>
      </c>
      <c r="H55" s="84"/>
      <c r="I55" s="64">
        <f>I56</f>
        <v>211300</v>
      </c>
      <c r="J55" s="64">
        <f t="shared" si="18"/>
        <v>211300</v>
      </c>
      <c r="K55" s="64">
        <f t="shared" si="18"/>
        <v>211300</v>
      </c>
    </row>
    <row r="56" spans="1:11">
      <c r="A56" s="27" t="s">
        <v>116</v>
      </c>
      <c r="B56" s="83" t="s">
        <v>12</v>
      </c>
      <c r="C56" s="83" t="s">
        <v>34</v>
      </c>
      <c r="D56" s="83">
        <v>97</v>
      </c>
      <c r="E56" s="84">
        <v>2</v>
      </c>
      <c r="F56" s="83" t="s">
        <v>15</v>
      </c>
      <c r="G56" s="83" t="s">
        <v>124</v>
      </c>
      <c r="H56" s="84">
        <v>540</v>
      </c>
      <c r="I56" s="64">
        <f>'Прил 6'!J50</f>
        <v>211300</v>
      </c>
      <c r="J56" s="64">
        <f>'Прил 6'!K50</f>
        <v>211300</v>
      </c>
      <c r="K56" s="64">
        <f>'Прил 6'!L50</f>
        <v>211300</v>
      </c>
    </row>
    <row r="57" spans="1:11" hidden="1">
      <c r="A57" s="22" t="s">
        <v>35</v>
      </c>
      <c r="B57" s="83" t="s">
        <v>12</v>
      </c>
      <c r="C57" s="83" t="s">
        <v>36</v>
      </c>
      <c r="D57" s="83"/>
      <c r="E57" s="84"/>
      <c r="F57" s="83"/>
      <c r="G57" s="83"/>
      <c r="H57" s="84"/>
      <c r="I57" s="64">
        <f>I58</f>
        <v>0</v>
      </c>
      <c r="J57" s="64">
        <f t="shared" ref="J57:K59" si="19">J58</f>
        <v>0</v>
      </c>
      <c r="K57" s="64">
        <f t="shared" si="19"/>
        <v>0</v>
      </c>
    </row>
    <row r="58" spans="1:11" ht="31.2" hidden="1">
      <c r="A58" s="28" t="s">
        <v>125</v>
      </c>
      <c r="B58" s="83" t="s">
        <v>12</v>
      </c>
      <c r="C58" s="83" t="s">
        <v>36</v>
      </c>
      <c r="D58" s="84">
        <v>93</v>
      </c>
      <c r="E58" s="83" t="s">
        <v>17</v>
      </c>
      <c r="F58" s="83" t="s">
        <v>15</v>
      </c>
      <c r="G58" s="83" t="s">
        <v>16</v>
      </c>
      <c r="H58" s="84"/>
      <c r="I58" s="64">
        <f>I59</f>
        <v>0</v>
      </c>
      <c r="J58" s="64">
        <f t="shared" si="19"/>
        <v>0</v>
      </c>
      <c r="K58" s="64">
        <f t="shared" si="19"/>
        <v>0</v>
      </c>
    </row>
    <row r="59" spans="1:11" ht="46.8" hidden="1">
      <c r="A59" s="28" t="s">
        <v>126</v>
      </c>
      <c r="B59" s="83" t="s">
        <v>12</v>
      </c>
      <c r="C59" s="83" t="s">
        <v>36</v>
      </c>
      <c r="D59" s="84">
        <v>93</v>
      </c>
      <c r="E59" s="83" t="s">
        <v>17</v>
      </c>
      <c r="F59" s="83" t="s">
        <v>15</v>
      </c>
      <c r="G59" s="83" t="s">
        <v>127</v>
      </c>
      <c r="H59" s="84"/>
      <c r="I59" s="64">
        <f>I60</f>
        <v>0</v>
      </c>
      <c r="J59" s="64">
        <f t="shared" si="19"/>
        <v>0</v>
      </c>
      <c r="K59" s="64">
        <f t="shared" si="19"/>
        <v>0</v>
      </c>
    </row>
    <row r="60" spans="1:11" hidden="1">
      <c r="A60" s="22" t="s">
        <v>37</v>
      </c>
      <c r="B60" s="83" t="s">
        <v>12</v>
      </c>
      <c r="C60" s="83" t="s">
        <v>36</v>
      </c>
      <c r="D60" s="84">
        <v>93</v>
      </c>
      <c r="E60" s="83" t="s">
        <v>17</v>
      </c>
      <c r="F60" s="83" t="s">
        <v>15</v>
      </c>
      <c r="G60" s="83" t="s">
        <v>127</v>
      </c>
      <c r="H60" s="84">
        <v>880</v>
      </c>
      <c r="I60" s="64"/>
      <c r="J60" s="64"/>
      <c r="K60" s="64"/>
    </row>
    <row r="61" spans="1:11">
      <c r="A61" s="21" t="s">
        <v>41</v>
      </c>
      <c r="B61" s="83" t="s">
        <v>12</v>
      </c>
      <c r="C61" s="84">
        <v>11</v>
      </c>
      <c r="D61" s="83"/>
      <c r="E61" s="84"/>
      <c r="F61" s="83"/>
      <c r="G61" s="83"/>
      <c r="H61" s="84" t="s">
        <v>94</v>
      </c>
      <c r="I61" s="63">
        <f>I62</f>
        <v>51259.12</v>
      </c>
      <c r="J61" s="63">
        <f t="shared" ref="J61:K64" si="20">J62</f>
        <v>51259.12</v>
      </c>
      <c r="K61" s="63">
        <f t="shared" si="20"/>
        <v>0</v>
      </c>
    </row>
    <row r="62" spans="1:11">
      <c r="A62" s="21" t="s">
        <v>41</v>
      </c>
      <c r="B62" s="83" t="s">
        <v>12</v>
      </c>
      <c r="C62" s="84">
        <v>11</v>
      </c>
      <c r="D62" s="83">
        <v>94</v>
      </c>
      <c r="E62" s="84">
        <v>0</v>
      </c>
      <c r="F62" s="83" t="s">
        <v>15</v>
      </c>
      <c r="G62" s="83" t="s">
        <v>16</v>
      </c>
      <c r="H62" s="84"/>
      <c r="I62" s="63">
        <f>I63</f>
        <v>51259.12</v>
      </c>
      <c r="J62" s="63">
        <f t="shared" si="20"/>
        <v>51259.12</v>
      </c>
      <c r="K62" s="63">
        <f t="shared" si="20"/>
        <v>0</v>
      </c>
    </row>
    <row r="63" spans="1:11">
      <c r="A63" s="21" t="s">
        <v>128</v>
      </c>
      <c r="B63" s="83" t="s">
        <v>12</v>
      </c>
      <c r="C63" s="84">
        <v>11</v>
      </c>
      <c r="D63" s="83">
        <v>94</v>
      </c>
      <c r="E63" s="84">
        <v>1</v>
      </c>
      <c r="F63" s="83" t="s">
        <v>15</v>
      </c>
      <c r="G63" s="83" t="s">
        <v>16</v>
      </c>
      <c r="H63" s="84" t="s">
        <v>94</v>
      </c>
      <c r="I63" s="63">
        <f>I64</f>
        <v>51259.12</v>
      </c>
      <c r="J63" s="63">
        <f t="shared" si="20"/>
        <v>51259.12</v>
      </c>
      <c r="K63" s="63">
        <f t="shared" si="20"/>
        <v>0</v>
      </c>
    </row>
    <row r="64" spans="1:11">
      <c r="A64" s="21" t="s">
        <v>128</v>
      </c>
      <c r="B64" s="83" t="s">
        <v>12</v>
      </c>
      <c r="C64" s="84">
        <v>11</v>
      </c>
      <c r="D64" s="83">
        <v>94</v>
      </c>
      <c r="E64" s="84">
        <v>1</v>
      </c>
      <c r="F64" s="83" t="s">
        <v>15</v>
      </c>
      <c r="G64" s="83" t="s">
        <v>129</v>
      </c>
      <c r="H64" s="84"/>
      <c r="I64" s="63">
        <f>I65</f>
        <v>51259.12</v>
      </c>
      <c r="J64" s="63">
        <f t="shared" si="20"/>
        <v>51259.12</v>
      </c>
      <c r="K64" s="63">
        <f t="shared" si="20"/>
        <v>0</v>
      </c>
    </row>
    <row r="65" spans="1:11">
      <c r="A65" s="21" t="s">
        <v>43</v>
      </c>
      <c r="B65" s="83" t="s">
        <v>12</v>
      </c>
      <c r="C65" s="84">
        <v>11</v>
      </c>
      <c r="D65" s="83">
        <v>94</v>
      </c>
      <c r="E65" s="84">
        <v>1</v>
      </c>
      <c r="F65" s="83" t="s">
        <v>15</v>
      </c>
      <c r="G65" s="83" t="s">
        <v>129</v>
      </c>
      <c r="H65" s="83" t="s">
        <v>44</v>
      </c>
      <c r="I65" s="63">
        <f>'Прил 6'!J59</f>
        <v>51259.12</v>
      </c>
      <c r="J65" s="63">
        <f>'Прил 6'!K59</f>
        <v>51259.12</v>
      </c>
      <c r="K65" s="63">
        <f>'Прил 6'!L59</f>
        <v>0</v>
      </c>
    </row>
    <row r="66" spans="1:11">
      <c r="A66" s="21" t="s">
        <v>46</v>
      </c>
      <c r="B66" s="83" t="s">
        <v>12</v>
      </c>
      <c r="C66" s="84">
        <v>13</v>
      </c>
      <c r="D66" s="83"/>
      <c r="E66" s="84"/>
      <c r="F66" s="83"/>
      <c r="G66" s="83"/>
      <c r="H66" s="84"/>
      <c r="I66" s="64">
        <f>I67+I80+I100+I111+I115+I119+I128+I132+I138</f>
        <v>10111795.200000001</v>
      </c>
      <c r="J66" s="64">
        <f t="shared" ref="J66:K66" si="21">J67+J80+J100+J111+J115+J119+J128+J132+J138</f>
        <v>10111795.200000001</v>
      </c>
      <c r="K66" s="64">
        <f t="shared" si="21"/>
        <v>7237472.0999999996</v>
      </c>
    </row>
    <row r="67" spans="1:11" ht="46.8">
      <c r="A67" s="21" t="s">
        <v>130</v>
      </c>
      <c r="B67" s="83" t="s">
        <v>12</v>
      </c>
      <c r="C67" s="84">
        <v>13</v>
      </c>
      <c r="D67" s="83" t="s">
        <v>12</v>
      </c>
      <c r="E67" s="84">
        <v>0</v>
      </c>
      <c r="F67" s="83" t="s">
        <v>15</v>
      </c>
      <c r="G67" s="83" t="s">
        <v>16</v>
      </c>
      <c r="H67" s="84"/>
      <c r="I67" s="64">
        <f>I68+I77</f>
        <v>8586041</v>
      </c>
      <c r="J67" s="64">
        <f t="shared" ref="J67:K67" si="22">J68+J77</f>
        <v>8586041</v>
      </c>
      <c r="K67" s="64">
        <f t="shared" si="22"/>
        <v>5845423.7299999995</v>
      </c>
    </row>
    <row r="68" spans="1:11">
      <c r="A68" s="21" t="s">
        <v>131</v>
      </c>
      <c r="B68" s="83" t="s">
        <v>12</v>
      </c>
      <c r="C68" s="84">
        <v>13</v>
      </c>
      <c r="D68" s="83" t="s">
        <v>12</v>
      </c>
      <c r="E68" s="84">
        <v>1</v>
      </c>
      <c r="F68" s="83" t="s">
        <v>15</v>
      </c>
      <c r="G68" s="83" t="s">
        <v>16</v>
      </c>
      <c r="H68" s="84"/>
      <c r="I68" s="64">
        <f>I69+I71+I73+I75</f>
        <v>8046041</v>
      </c>
      <c r="J68" s="64">
        <f t="shared" ref="J68:K68" si="23">J69+J71+J73+J75</f>
        <v>8046041.0000000009</v>
      </c>
      <c r="K68" s="64">
        <f t="shared" si="23"/>
        <v>5374746.7199999997</v>
      </c>
    </row>
    <row r="69" spans="1:11">
      <c r="A69" s="22" t="s">
        <v>411</v>
      </c>
      <c r="B69" s="83" t="s">
        <v>12</v>
      </c>
      <c r="C69" s="84">
        <v>13</v>
      </c>
      <c r="D69" s="83" t="s">
        <v>12</v>
      </c>
      <c r="E69" s="84">
        <v>1</v>
      </c>
      <c r="F69" s="83" t="s">
        <v>15</v>
      </c>
      <c r="G69" s="83" t="s">
        <v>410</v>
      </c>
      <c r="H69" s="84"/>
      <c r="I69" s="64">
        <f>I70</f>
        <v>200000</v>
      </c>
      <c r="J69" s="64">
        <f t="shared" ref="J69:K69" si="24">J70</f>
        <v>200000</v>
      </c>
      <c r="K69" s="64">
        <f t="shared" si="24"/>
        <v>197190</v>
      </c>
    </row>
    <row r="70" spans="1:11" ht="31.2">
      <c r="A70" s="22" t="s">
        <v>22</v>
      </c>
      <c r="B70" s="83" t="s">
        <v>12</v>
      </c>
      <c r="C70" s="84">
        <v>13</v>
      </c>
      <c r="D70" s="83" t="s">
        <v>12</v>
      </c>
      <c r="E70" s="84">
        <v>1</v>
      </c>
      <c r="F70" s="83" t="s">
        <v>15</v>
      </c>
      <c r="G70" s="83" t="s">
        <v>410</v>
      </c>
      <c r="H70" s="84">
        <v>240</v>
      </c>
      <c r="I70" s="64">
        <f>'Прил 6'!J64</f>
        <v>200000</v>
      </c>
      <c r="J70" s="64">
        <f>'Прил 6'!K64</f>
        <v>200000</v>
      </c>
      <c r="K70" s="64">
        <f>'Прил 6'!L64</f>
        <v>197190</v>
      </c>
    </row>
    <row r="71" spans="1:11">
      <c r="A71" s="22" t="s">
        <v>132</v>
      </c>
      <c r="B71" s="83" t="s">
        <v>12</v>
      </c>
      <c r="C71" s="84">
        <v>13</v>
      </c>
      <c r="D71" s="83" t="s">
        <v>12</v>
      </c>
      <c r="E71" s="84">
        <v>1</v>
      </c>
      <c r="F71" s="83" t="s">
        <v>15</v>
      </c>
      <c r="G71" s="83" t="s">
        <v>133</v>
      </c>
      <c r="H71" s="84"/>
      <c r="I71" s="64">
        <f>I72</f>
        <v>4828715.84</v>
      </c>
      <c r="J71" s="64">
        <f t="shared" ref="J71:K71" si="25">J72</f>
        <v>5057825.0600000005</v>
      </c>
      <c r="K71" s="64">
        <f t="shared" si="25"/>
        <v>4944591.04</v>
      </c>
    </row>
    <row r="72" spans="1:11" ht="31.2">
      <c r="A72" s="22" t="s">
        <v>22</v>
      </c>
      <c r="B72" s="83" t="s">
        <v>12</v>
      </c>
      <c r="C72" s="84">
        <v>13</v>
      </c>
      <c r="D72" s="83" t="s">
        <v>12</v>
      </c>
      <c r="E72" s="84">
        <v>1</v>
      </c>
      <c r="F72" s="83" t="s">
        <v>15</v>
      </c>
      <c r="G72" s="83" t="s">
        <v>133</v>
      </c>
      <c r="H72" s="84">
        <v>240</v>
      </c>
      <c r="I72" s="64">
        <f>'Прил 6'!J66</f>
        <v>4828715.84</v>
      </c>
      <c r="J72" s="64">
        <f>'Прил 6'!K66</f>
        <v>5057825.0600000005</v>
      </c>
      <c r="K72" s="64">
        <f>'Прил 6'!L66</f>
        <v>4944591.04</v>
      </c>
    </row>
    <row r="73" spans="1:11">
      <c r="A73" s="22" t="s">
        <v>134</v>
      </c>
      <c r="B73" s="83" t="s">
        <v>12</v>
      </c>
      <c r="C73" s="84">
        <v>13</v>
      </c>
      <c r="D73" s="83" t="s">
        <v>12</v>
      </c>
      <c r="E73" s="84">
        <v>1</v>
      </c>
      <c r="F73" s="83" t="s">
        <v>15</v>
      </c>
      <c r="G73" s="83" t="s">
        <v>135</v>
      </c>
      <c r="H73" s="84"/>
      <c r="I73" s="64">
        <f>I74</f>
        <v>2761603.56</v>
      </c>
      <c r="J73" s="64">
        <f t="shared" ref="J73:K73" si="26">J74</f>
        <v>2761603.56</v>
      </c>
      <c r="K73" s="64">
        <f t="shared" si="26"/>
        <v>211655.21</v>
      </c>
    </row>
    <row r="74" spans="1:11" ht="31.2">
      <c r="A74" s="22" t="s">
        <v>22</v>
      </c>
      <c r="B74" s="83" t="s">
        <v>12</v>
      </c>
      <c r="C74" s="84">
        <v>13</v>
      </c>
      <c r="D74" s="83" t="s">
        <v>12</v>
      </c>
      <c r="E74" s="84">
        <v>1</v>
      </c>
      <c r="F74" s="83" t="s">
        <v>15</v>
      </c>
      <c r="G74" s="83" t="s">
        <v>135</v>
      </c>
      <c r="H74" s="84">
        <v>240</v>
      </c>
      <c r="I74" s="64">
        <f>'Прил 6'!J68</f>
        <v>2761603.56</v>
      </c>
      <c r="J74" s="64">
        <f>'Прил 6'!K68</f>
        <v>2761603.56</v>
      </c>
      <c r="K74" s="64">
        <f>'Прил 6'!L68</f>
        <v>211655.21</v>
      </c>
    </row>
    <row r="75" spans="1:11">
      <c r="A75" s="22" t="s">
        <v>136</v>
      </c>
      <c r="B75" s="83" t="s">
        <v>12</v>
      </c>
      <c r="C75" s="84">
        <v>13</v>
      </c>
      <c r="D75" s="83" t="s">
        <v>12</v>
      </c>
      <c r="E75" s="84">
        <v>1</v>
      </c>
      <c r="F75" s="83" t="s">
        <v>15</v>
      </c>
      <c r="G75" s="83" t="s">
        <v>137</v>
      </c>
      <c r="H75" s="84"/>
      <c r="I75" s="64">
        <f>I76</f>
        <v>255721.59999999998</v>
      </c>
      <c r="J75" s="64">
        <f t="shared" ref="J75:K75" si="27">J76</f>
        <v>26612.379999999997</v>
      </c>
      <c r="K75" s="64">
        <f t="shared" si="27"/>
        <v>21310.47</v>
      </c>
    </row>
    <row r="76" spans="1:11" ht="31.2">
      <c r="A76" s="22" t="s">
        <v>22</v>
      </c>
      <c r="B76" s="83" t="s">
        <v>12</v>
      </c>
      <c r="C76" s="84">
        <v>13</v>
      </c>
      <c r="D76" s="83" t="s">
        <v>12</v>
      </c>
      <c r="E76" s="84">
        <v>1</v>
      </c>
      <c r="F76" s="83" t="s">
        <v>15</v>
      </c>
      <c r="G76" s="83" t="s">
        <v>137</v>
      </c>
      <c r="H76" s="84">
        <v>240</v>
      </c>
      <c r="I76" s="64">
        <f>'Прил 6'!J70</f>
        <v>255721.59999999998</v>
      </c>
      <c r="J76" s="64">
        <f>'Прил 6'!K70</f>
        <v>26612.379999999997</v>
      </c>
      <c r="K76" s="64">
        <f>'Прил 6'!L70</f>
        <v>21310.47</v>
      </c>
    </row>
    <row r="77" spans="1:11" ht="31.2">
      <c r="A77" s="22" t="s">
        <v>138</v>
      </c>
      <c r="B77" s="83" t="s">
        <v>12</v>
      </c>
      <c r="C77" s="84">
        <v>13</v>
      </c>
      <c r="D77" s="83" t="s">
        <v>12</v>
      </c>
      <c r="E77" s="84">
        <v>2</v>
      </c>
      <c r="F77" s="83" t="s">
        <v>15</v>
      </c>
      <c r="G77" s="83" t="s">
        <v>16</v>
      </c>
      <c r="H77" s="84"/>
      <c r="I77" s="64">
        <f>I78</f>
        <v>540000</v>
      </c>
      <c r="J77" s="64">
        <f t="shared" ref="J77:K78" si="28">J78</f>
        <v>540000</v>
      </c>
      <c r="K77" s="64">
        <f t="shared" si="28"/>
        <v>470677.01</v>
      </c>
    </row>
    <row r="78" spans="1:11">
      <c r="A78" s="22" t="s">
        <v>139</v>
      </c>
      <c r="B78" s="83" t="s">
        <v>12</v>
      </c>
      <c r="C78" s="84">
        <v>13</v>
      </c>
      <c r="D78" s="83" t="s">
        <v>12</v>
      </c>
      <c r="E78" s="84">
        <v>2</v>
      </c>
      <c r="F78" s="83" t="s">
        <v>15</v>
      </c>
      <c r="G78" s="83" t="s">
        <v>140</v>
      </c>
      <c r="H78" s="84"/>
      <c r="I78" s="64">
        <f>I79</f>
        <v>540000</v>
      </c>
      <c r="J78" s="64">
        <f t="shared" si="28"/>
        <v>540000</v>
      </c>
      <c r="K78" s="64">
        <f t="shared" si="28"/>
        <v>470677.01</v>
      </c>
    </row>
    <row r="79" spans="1:11" ht="31.2">
      <c r="A79" s="22" t="s">
        <v>22</v>
      </c>
      <c r="B79" s="83" t="s">
        <v>12</v>
      </c>
      <c r="C79" s="84">
        <v>13</v>
      </c>
      <c r="D79" s="83" t="s">
        <v>12</v>
      </c>
      <c r="E79" s="84">
        <v>2</v>
      </c>
      <c r="F79" s="83" t="s">
        <v>15</v>
      </c>
      <c r="G79" s="83" t="s">
        <v>140</v>
      </c>
      <c r="H79" s="84">
        <v>240</v>
      </c>
      <c r="I79" s="64">
        <f>'Прил 6'!J73</f>
        <v>540000</v>
      </c>
      <c r="J79" s="64">
        <f>'Прил 6'!K73</f>
        <v>540000</v>
      </c>
      <c r="K79" s="64">
        <f>'Прил 6'!L73</f>
        <v>470677.01</v>
      </c>
    </row>
    <row r="80" spans="1:11" ht="46.8">
      <c r="A80" s="21" t="s">
        <v>141</v>
      </c>
      <c r="B80" s="83" t="s">
        <v>12</v>
      </c>
      <c r="C80" s="84">
        <v>13</v>
      </c>
      <c r="D80" s="83" t="s">
        <v>36</v>
      </c>
      <c r="E80" s="84">
        <v>0</v>
      </c>
      <c r="F80" s="83" t="s">
        <v>15</v>
      </c>
      <c r="G80" s="83" t="s">
        <v>16</v>
      </c>
      <c r="H80" s="84"/>
      <c r="I80" s="64">
        <f>I81</f>
        <v>1007589.13</v>
      </c>
      <c r="J80" s="64">
        <f t="shared" ref="J80:K80" si="29">J81</f>
        <v>1007589.13</v>
      </c>
      <c r="K80" s="64">
        <f t="shared" si="29"/>
        <v>996063.64</v>
      </c>
    </row>
    <row r="81" spans="1:11" ht="31.2">
      <c r="A81" s="21" t="s">
        <v>142</v>
      </c>
      <c r="B81" s="83" t="s">
        <v>12</v>
      </c>
      <c r="C81" s="84">
        <v>13</v>
      </c>
      <c r="D81" s="83" t="s">
        <v>36</v>
      </c>
      <c r="E81" s="84">
        <v>1</v>
      </c>
      <c r="F81" s="83" t="s">
        <v>15</v>
      </c>
      <c r="G81" s="83" t="s">
        <v>16</v>
      </c>
      <c r="H81" s="84"/>
      <c r="I81" s="64">
        <f>I82+I85+I88+I91+I94+I97</f>
        <v>1007589.13</v>
      </c>
      <c r="J81" s="64">
        <f t="shared" ref="J81:K81" si="30">J82+J85+J88+J91+J94+J97</f>
        <v>1007589.13</v>
      </c>
      <c r="K81" s="64">
        <f t="shared" si="30"/>
        <v>996063.64</v>
      </c>
    </row>
    <row r="82" spans="1:11">
      <c r="A82" s="21" t="s">
        <v>143</v>
      </c>
      <c r="B82" s="83" t="s">
        <v>12</v>
      </c>
      <c r="C82" s="84">
        <v>13</v>
      </c>
      <c r="D82" s="83" t="s">
        <v>36</v>
      </c>
      <c r="E82" s="84">
        <v>1</v>
      </c>
      <c r="F82" s="83" t="s">
        <v>12</v>
      </c>
      <c r="G82" s="83" t="s">
        <v>16</v>
      </c>
      <c r="H82" s="84"/>
      <c r="I82" s="64">
        <f>I83</f>
        <v>453094.49</v>
      </c>
      <c r="J82" s="64">
        <f t="shared" ref="J82:K83" si="31">J83</f>
        <v>453094.49</v>
      </c>
      <c r="K82" s="64">
        <f t="shared" si="31"/>
        <v>449349</v>
      </c>
    </row>
    <row r="83" spans="1:11" ht="31.2">
      <c r="A83" s="22" t="s">
        <v>144</v>
      </c>
      <c r="B83" s="83" t="s">
        <v>12</v>
      </c>
      <c r="C83" s="83" t="s">
        <v>47</v>
      </c>
      <c r="D83" s="83" t="s">
        <v>36</v>
      </c>
      <c r="E83" s="83" t="s">
        <v>17</v>
      </c>
      <c r="F83" s="83" t="s">
        <v>12</v>
      </c>
      <c r="G83" s="83" t="s">
        <v>145</v>
      </c>
      <c r="H83" s="83"/>
      <c r="I83" s="64">
        <f>I84</f>
        <v>453094.49</v>
      </c>
      <c r="J83" s="64">
        <f t="shared" si="31"/>
        <v>453094.49</v>
      </c>
      <c r="K83" s="64">
        <f t="shared" si="31"/>
        <v>449349</v>
      </c>
    </row>
    <row r="84" spans="1:11" ht="31.2">
      <c r="A84" s="22" t="s">
        <v>22</v>
      </c>
      <c r="B84" s="83" t="s">
        <v>12</v>
      </c>
      <c r="C84" s="83" t="s">
        <v>47</v>
      </c>
      <c r="D84" s="83" t="s">
        <v>36</v>
      </c>
      <c r="E84" s="83" t="s">
        <v>17</v>
      </c>
      <c r="F84" s="83" t="s">
        <v>12</v>
      </c>
      <c r="G84" s="83" t="s">
        <v>145</v>
      </c>
      <c r="H84" s="83" t="s">
        <v>23</v>
      </c>
      <c r="I84" s="64">
        <f>'Прил 6'!J78</f>
        <v>453094.49</v>
      </c>
      <c r="J84" s="64">
        <f>'Прил 6'!K78</f>
        <v>453094.49</v>
      </c>
      <c r="K84" s="64">
        <f>'Прил 6'!L78</f>
        <v>449349</v>
      </c>
    </row>
    <row r="85" spans="1:11">
      <c r="A85" s="21" t="s">
        <v>146</v>
      </c>
      <c r="B85" s="83" t="s">
        <v>12</v>
      </c>
      <c r="C85" s="84">
        <v>13</v>
      </c>
      <c r="D85" s="83" t="s">
        <v>36</v>
      </c>
      <c r="E85" s="84">
        <v>1</v>
      </c>
      <c r="F85" s="83" t="s">
        <v>13</v>
      </c>
      <c r="G85" s="83" t="s">
        <v>16</v>
      </c>
      <c r="H85" s="84"/>
      <c r="I85" s="64">
        <f>I86</f>
        <v>35000</v>
      </c>
      <c r="J85" s="64">
        <f t="shared" ref="J85:K86" si="32">J86</f>
        <v>35000</v>
      </c>
      <c r="K85" s="64">
        <f t="shared" si="32"/>
        <v>35000</v>
      </c>
    </row>
    <row r="86" spans="1:11" ht="31.2">
      <c r="A86" s="22" t="s">
        <v>144</v>
      </c>
      <c r="B86" s="83" t="s">
        <v>12</v>
      </c>
      <c r="C86" s="83" t="s">
        <v>47</v>
      </c>
      <c r="D86" s="83" t="s">
        <v>36</v>
      </c>
      <c r="E86" s="83" t="s">
        <v>17</v>
      </c>
      <c r="F86" s="83" t="s">
        <v>13</v>
      </c>
      <c r="G86" s="83" t="s">
        <v>145</v>
      </c>
      <c r="H86" s="83"/>
      <c r="I86" s="64">
        <f>I87</f>
        <v>35000</v>
      </c>
      <c r="J86" s="64">
        <f t="shared" si="32"/>
        <v>35000</v>
      </c>
      <c r="K86" s="64">
        <f t="shared" si="32"/>
        <v>35000</v>
      </c>
    </row>
    <row r="87" spans="1:11" ht="31.2">
      <c r="A87" s="22" t="s">
        <v>22</v>
      </c>
      <c r="B87" s="83" t="s">
        <v>12</v>
      </c>
      <c r="C87" s="83" t="s">
        <v>47</v>
      </c>
      <c r="D87" s="83" t="s">
        <v>36</v>
      </c>
      <c r="E87" s="83" t="s">
        <v>17</v>
      </c>
      <c r="F87" s="83" t="s">
        <v>13</v>
      </c>
      <c r="G87" s="83" t="s">
        <v>145</v>
      </c>
      <c r="H87" s="83" t="s">
        <v>23</v>
      </c>
      <c r="I87" s="64">
        <f>'Прил 6'!J81</f>
        <v>35000</v>
      </c>
      <c r="J87" s="64">
        <f>'Прил 6'!K81</f>
        <v>35000</v>
      </c>
      <c r="K87" s="64">
        <f>'Прил 6'!L81</f>
        <v>35000</v>
      </c>
    </row>
    <row r="88" spans="1:11">
      <c r="A88" s="21" t="s">
        <v>147</v>
      </c>
      <c r="B88" s="83" t="s">
        <v>12</v>
      </c>
      <c r="C88" s="84">
        <v>13</v>
      </c>
      <c r="D88" s="83" t="s">
        <v>36</v>
      </c>
      <c r="E88" s="84">
        <v>1</v>
      </c>
      <c r="F88" s="83" t="s">
        <v>19</v>
      </c>
      <c r="G88" s="83" t="s">
        <v>16</v>
      </c>
      <c r="H88" s="84"/>
      <c r="I88" s="64">
        <f>I89</f>
        <v>403294.64</v>
      </c>
      <c r="J88" s="64">
        <f t="shared" ref="J88:K89" si="33">J89</f>
        <v>431814.64</v>
      </c>
      <c r="K88" s="64">
        <f t="shared" si="33"/>
        <v>431814.64</v>
      </c>
    </row>
    <row r="89" spans="1:11" ht="31.2">
      <c r="A89" s="22" t="s">
        <v>144</v>
      </c>
      <c r="B89" s="83" t="s">
        <v>12</v>
      </c>
      <c r="C89" s="83" t="s">
        <v>47</v>
      </c>
      <c r="D89" s="83" t="s">
        <v>36</v>
      </c>
      <c r="E89" s="83" t="s">
        <v>17</v>
      </c>
      <c r="F89" s="83" t="s">
        <v>19</v>
      </c>
      <c r="G89" s="83" t="s">
        <v>145</v>
      </c>
      <c r="H89" s="83"/>
      <c r="I89" s="64">
        <f>I90</f>
        <v>403294.64</v>
      </c>
      <c r="J89" s="64">
        <f t="shared" si="33"/>
        <v>431814.64</v>
      </c>
      <c r="K89" s="64">
        <f t="shared" si="33"/>
        <v>431814.64</v>
      </c>
    </row>
    <row r="90" spans="1:11" ht="31.2">
      <c r="A90" s="22" t="s">
        <v>22</v>
      </c>
      <c r="B90" s="83" t="s">
        <v>12</v>
      </c>
      <c r="C90" s="83" t="s">
        <v>47</v>
      </c>
      <c r="D90" s="83" t="s">
        <v>36</v>
      </c>
      <c r="E90" s="83" t="s">
        <v>17</v>
      </c>
      <c r="F90" s="83" t="s">
        <v>19</v>
      </c>
      <c r="G90" s="83" t="s">
        <v>145</v>
      </c>
      <c r="H90" s="83" t="s">
        <v>23</v>
      </c>
      <c r="I90" s="64">
        <f>'Прил 6'!J84</f>
        <v>403294.64</v>
      </c>
      <c r="J90" s="64">
        <f>'Прил 6'!K84</f>
        <v>431814.64</v>
      </c>
      <c r="K90" s="64">
        <f>'Прил 6'!L84</f>
        <v>431814.64</v>
      </c>
    </row>
    <row r="91" spans="1:11">
      <c r="A91" s="21" t="s">
        <v>148</v>
      </c>
      <c r="B91" s="83" t="s">
        <v>12</v>
      </c>
      <c r="C91" s="84">
        <v>13</v>
      </c>
      <c r="D91" s="83" t="s">
        <v>36</v>
      </c>
      <c r="E91" s="84">
        <v>1</v>
      </c>
      <c r="F91" s="83" t="s">
        <v>31</v>
      </c>
      <c r="G91" s="83" t="s">
        <v>16</v>
      </c>
      <c r="H91" s="84"/>
      <c r="I91" s="64">
        <f>I92</f>
        <v>50000</v>
      </c>
      <c r="J91" s="64">
        <f t="shared" ref="J91:K92" si="34">J92</f>
        <v>50000</v>
      </c>
      <c r="K91" s="64">
        <f t="shared" si="34"/>
        <v>43200</v>
      </c>
    </row>
    <row r="92" spans="1:11" ht="31.2">
      <c r="A92" s="22" t="s">
        <v>144</v>
      </c>
      <c r="B92" s="83" t="s">
        <v>12</v>
      </c>
      <c r="C92" s="83" t="s">
        <v>47</v>
      </c>
      <c r="D92" s="83" t="s">
        <v>36</v>
      </c>
      <c r="E92" s="83" t="s">
        <v>17</v>
      </c>
      <c r="F92" s="83" t="s">
        <v>31</v>
      </c>
      <c r="G92" s="83" t="s">
        <v>145</v>
      </c>
      <c r="H92" s="83"/>
      <c r="I92" s="64">
        <f>I93</f>
        <v>50000</v>
      </c>
      <c r="J92" s="64">
        <f t="shared" si="34"/>
        <v>50000</v>
      </c>
      <c r="K92" s="64">
        <f t="shared" si="34"/>
        <v>43200</v>
      </c>
    </row>
    <row r="93" spans="1:11" ht="31.2">
      <c r="A93" s="22" t="s">
        <v>22</v>
      </c>
      <c r="B93" s="83" t="s">
        <v>12</v>
      </c>
      <c r="C93" s="83" t="s">
        <v>47</v>
      </c>
      <c r="D93" s="83" t="s">
        <v>36</v>
      </c>
      <c r="E93" s="83" t="s">
        <v>17</v>
      </c>
      <c r="F93" s="83" t="s">
        <v>31</v>
      </c>
      <c r="G93" s="83" t="s">
        <v>145</v>
      </c>
      <c r="H93" s="83" t="s">
        <v>23</v>
      </c>
      <c r="I93" s="64">
        <f>'Прил 6'!J87</f>
        <v>50000</v>
      </c>
      <c r="J93" s="64">
        <f>'Прил 6'!K87</f>
        <v>50000</v>
      </c>
      <c r="K93" s="64">
        <f>'Прил 6'!L87</f>
        <v>43200</v>
      </c>
    </row>
    <row r="94" spans="1:11" ht="46.8">
      <c r="A94" s="21" t="s">
        <v>149</v>
      </c>
      <c r="B94" s="83" t="s">
        <v>12</v>
      </c>
      <c r="C94" s="84">
        <v>13</v>
      </c>
      <c r="D94" s="83" t="s">
        <v>36</v>
      </c>
      <c r="E94" s="84">
        <v>1</v>
      </c>
      <c r="F94" s="83" t="s">
        <v>32</v>
      </c>
      <c r="G94" s="83" t="s">
        <v>16</v>
      </c>
      <c r="H94" s="84"/>
      <c r="I94" s="64">
        <f>I95</f>
        <v>30000</v>
      </c>
      <c r="J94" s="64">
        <f t="shared" ref="J94:K95" si="35">J95</f>
        <v>980</v>
      </c>
      <c r="K94" s="64">
        <f t="shared" si="35"/>
        <v>0</v>
      </c>
    </row>
    <row r="95" spans="1:11" ht="31.2">
      <c r="A95" s="22" t="s">
        <v>144</v>
      </c>
      <c r="B95" s="83" t="s">
        <v>12</v>
      </c>
      <c r="C95" s="83" t="s">
        <v>47</v>
      </c>
      <c r="D95" s="83" t="s">
        <v>36</v>
      </c>
      <c r="E95" s="83" t="s">
        <v>17</v>
      </c>
      <c r="F95" s="83" t="s">
        <v>32</v>
      </c>
      <c r="G95" s="83" t="s">
        <v>145</v>
      </c>
      <c r="H95" s="83"/>
      <c r="I95" s="64">
        <f>I96</f>
        <v>30000</v>
      </c>
      <c r="J95" s="64">
        <f t="shared" si="35"/>
        <v>980</v>
      </c>
      <c r="K95" s="64">
        <f t="shared" si="35"/>
        <v>0</v>
      </c>
    </row>
    <row r="96" spans="1:11" ht="31.2">
      <c r="A96" s="22" t="s">
        <v>22</v>
      </c>
      <c r="B96" s="83" t="s">
        <v>12</v>
      </c>
      <c r="C96" s="83" t="s">
        <v>47</v>
      </c>
      <c r="D96" s="83" t="s">
        <v>36</v>
      </c>
      <c r="E96" s="83" t="s">
        <v>17</v>
      </c>
      <c r="F96" s="83" t="s">
        <v>32</v>
      </c>
      <c r="G96" s="83" t="s">
        <v>145</v>
      </c>
      <c r="H96" s="83" t="s">
        <v>23</v>
      </c>
      <c r="I96" s="64">
        <f>'Прил 6'!J90</f>
        <v>30000</v>
      </c>
      <c r="J96" s="64">
        <f>'Прил 6'!K90</f>
        <v>980</v>
      </c>
      <c r="K96" s="64">
        <f>'Прил 6'!L90</f>
        <v>0</v>
      </c>
    </row>
    <row r="97" spans="1:11">
      <c r="A97" s="21" t="s">
        <v>150</v>
      </c>
      <c r="B97" s="83" t="s">
        <v>12</v>
      </c>
      <c r="C97" s="84">
        <v>13</v>
      </c>
      <c r="D97" s="83" t="s">
        <v>36</v>
      </c>
      <c r="E97" s="84">
        <v>1</v>
      </c>
      <c r="F97" s="83" t="s">
        <v>34</v>
      </c>
      <c r="G97" s="83" t="s">
        <v>16</v>
      </c>
      <c r="H97" s="84"/>
      <c r="I97" s="64">
        <f>I98</f>
        <v>36200</v>
      </c>
      <c r="J97" s="64">
        <f t="shared" ref="J97:K98" si="36">J98</f>
        <v>36700</v>
      </c>
      <c r="K97" s="64">
        <f t="shared" si="36"/>
        <v>36700</v>
      </c>
    </row>
    <row r="98" spans="1:11" ht="31.2">
      <c r="A98" s="22" t="s">
        <v>144</v>
      </c>
      <c r="B98" s="83" t="s">
        <v>12</v>
      </c>
      <c r="C98" s="83" t="s">
        <v>47</v>
      </c>
      <c r="D98" s="83" t="s">
        <v>36</v>
      </c>
      <c r="E98" s="83" t="s">
        <v>17</v>
      </c>
      <c r="F98" s="83" t="s">
        <v>34</v>
      </c>
      <c r="G98" s="83" t="s">
        <v>145</v>
      </c>
      <c r="H98" s="83"/>
      <c r="I98" s="64">
        <f>I99</f>
        <v>36200</v>
      </c>
      <c r="J98" s="64">
        <f t="shared" si="36"/>
        <v>36700</v>
      </c>
      <c r="K98" s="64">
        <f t="shared" si="36"/>
        <v>36700</v>
      </c>
    </row>
    <row r="99" spans="1:11" ht="31.2">
      <c r="A99" s="22" t="s">
        <v>22</v>
      </c>
      <c r="B99" s="83" t="s">
        <v>12</v>
      </c>
      <c r="C99" s="83" t="s">
        <v>47</v>
      </c>
      <c r="D99" s="83" t="s">
        <v>36</v>
      </c>
      <c r="E99" s="83" t="s">
        <v>17</v>
      </c>
      <c r="F99" s="83" t="s">
        <v>34</v>
      </c>
      <c r="G99" s="83" t="s">
        <v>145</v>
      </c>
      <c r="H99" s="83" t="s">
        <v>23</v>
      </c>
      <c r="I99" s="64">
        <f>'Прил 6'!J93</f>
        <v>36200</v>
      </c>
      <c r="J99" s="64">
        <f>'Прил 6'!K93</f>
        <v>36700</v>
      </c>
      <c r="K99" s="64">
        <f>'Прил 6'!L93</f>
        <v>36700</v>
      </c>
    </row>
    <row r="100" spans="1:11" ht="46.8">
      <c r="A100" s="21" t="s">
        <v>151</v>
      </c>
      <c r="B100" s="83" t="s">
        <v>12</v>
      </c>
      <c r="C100" s="84">
        <v>13</v>
      </c>
      <c r="D100" s="83" t="s">
        <v>64</v>
      </c>
      <c r="E100" s="84">
        <v>0</v>
      </c>
      <c r="F100" s="83" t="s">
        <v>15</v>
      </c>
      <c r="G100" s="83" t="s">
        <v>16</v>
      </c>
      <c r="H100" s="84"/>
      <c r="I100" s="64">
        <f>I101</f>
        <v>14313</v>
      </c>
      <c r="J100" s="64">
        <f t="shared" ref="J100:K100" si="37">J101</f>
        <v>14313</v>
      </c>
      <c r="K100" s="64">
        <f t="shared" si="37"/>
        <v>14313</v>
      </c>
    </row>
    <row r="101" spans="1:11" ht="31.2">
      <c r="A101" s="21" t="s">
        <v>152</v>
      </c>
      <c r="B101" s="83" t="s">
        <v>12</v>
      </c>
      <c r="C101" s="84">
        <v>13</v>
      </c>
      <c r="D101" s="83" t="s">
        <v>64</v>
      </c>
      <c r="E101" s="84">
        <v>0</v>
      </c>
      <c r="F101" s="83" t="s">
        <v>15</v>
      </c>
      <c r="G101" s="83" t="s">
        <v>16</v>
      </c>
      <c r="H101" s="84"/>
      <c r="I101" s="64">
        <f>I102+I105+I107+I109</f>
        <v>14313</v>
      </c>
      <c r="J101" s="64">
        <f t="shared" ref="J101:K101" si="38">J102+J105+J107+J109</f>
        <v>14313</v>
      </c>
      <c r="K101" s="64">
        <f t="shared" si="38"/>
        <v>14313</v>
      </c>
    </row>
    <row r="102" spans="1:11" ht="31.2">
      <c r="A102" s="22" t="s">
        <v>153</v>
      </c>
      <c r="B102" s="83" t="s">
        <v>12</v>
      </c>
      <c r="C102" s="83" t="s">
        <v>47</v>
      </c>
      <c r="D102" s="83" t="s">
        <v>64</v>
      </c>
      <c r="E102" s="83" t="s">
        <v>14</v>
      </c>
      <c r="F102" s="83" t="s">
        <v>15</v>
      </c>
      <c r="G102" s="83" t="s">
        <v>154</v>
      </c>
      <c r="H102" s="83"/>
      <c r="I102" s="64">
        <f>SUM(I103:I104)</f>
        <v>3813</v>
      </c>
      <c r="J102" s="64">
        <f t="shared" ref="J102:K102" si="39">SUM(J103:J104)</f>
        <v>3813</v>
      </c>
      <c r="K102" s="64">
        <f t="shared" si="39"/>
        <v>3813</v>
      </c>
    </row>
    <row r="103" spans="1:11" ht="31.2" hidden="1">
      <c r="A103" s="22" t="s">
        <v>22</v>
      </c>
      <c r="B103" s="83" t="s">
        <v>12</v>
      </c>
      <c r="C103" s="83" t="s">
        <v>47</v>
      </c>
      <c r="D103" s="83" t="s">
        <v>64</v>
      </c>
      <c r="E103" s="83" t="s">
        <v>14</v>
      </c>
      <c r="F103" s="83" t="s">
        <v>15</v>
      </c>
      <c r="G103" s="83" t="s">
        <v>154</v>
      </c>
      <c r="H103" s="83" t="s">
        <v>23</v>
      </c>
      <c r="I103" s="64">
        <f>'Прил 6'!J97</f>
        <v>0</v>
      </c>
      <c r="J103" s="64">
        <f>'Прил 6'!K97</f>
        <v>0</v>
      </c>
      <c r="K103" s="64">
        <f>'Прил 6'!L97</f>
        <v>0</v>
      </c>
    </row>
    <row r="104" spans="1:11">
      <c r="A104" s="22" t="s">
        <v>59</v>
      </c>
      <c r="B104" s="83" t="s">
        <v>12</v>
      </c>
      <c r="C104" s="83" t="s">
        <v>47</v>
      </c>
      <c r="D104" s="83" t="s">
        <v>64</v>
      </c>
      <c r="E104" s="83" t="s">
        <v>14</v>
      </c>
      <c r="F104" s="83" t="s">
        <v>15</v>
      </c>
      <c r="G104" s="83" t="s">
        <v>154</v>
      </c>
      <c r="H104" s="83" t="s">
        <v>60</v>
      </c>
      <c r="I104" s="64">
        <f>'Прил 6'!J98</f>
        <v>3813</v>
      </c>
      <c r="J104" s="64">
        <f>'Прил 6'!K98</f>
        <v>3813</v>
      </c>
      <c r="K104" s="64">
        <f>'Прил 6'!L98</f>
        <v>3813</v>
      </c>
    </row>
    <row r="105" spans="1:11" ht="31.2">
      <c r="A105" s="22" t="s">
        <v>416</v>
      </c>
      <c r="B105" s="83" t="s">
        <v>12</v>
      </c>
      <c r="C105" s="83" t="s">
        <v>47</v>
      </c>
      <c r="D105" s="83" t="s">
        <v>64</v>
      </c>
      <c r="E105" s="83" t="s">
        <v>14</v>
      </c>
      <c r="F105" s="83" t="s">
        <v>15</v>
      </c>
      <c r="G105" s="83" t="s">
        <v>415</v>
      </c>
      <c r="H105" s="83"/>
      <c r="I105" s="64">
        <f>I106</f>
        <v>4500</v>
      </c>
      <c r="J105" s="64">
        <f t="shared" ref="J105:K105" si="40">J106</f>
        <v>4500</v>
      </c>
      <c r="K105" s="64">
        <f t="shared" si="40"/>
        <v>4500</v>
      </c>
    </row>
    <row r="106" spans="1:11">
      <c r="A106" s="22" t="s">
        <v>39</v>
      </c>
      <c r="B106" s="83" t="s">
        <v>12</v>
      </c>
      <c r="C106" s="83" t="s">
        <v>47</v>
      </c>
      <c r="D106" s="83" t="s">
        <v>64</v>
      </c>
      <c r="E106" s="83" t="s">
        <v>14</v>
      </c>
      <c r="F106" s="83" t="s">
        <v>15</v>
      </c>
      <c r="G106" s="83" t="s">
        <v>415</v>
      </c>
      <c r="H106" s="83" t="s">
        <v>40</v>
      </c>
      <c r="I106" s="64">
        <f>'Прил 6'!J100</f>
        <v>4500</v>
      </c>
      <c r="J106" s="64">
        <f>'Прил 6'!K100</f>
        <v>4500</v>
      </c>
      <c r="K106" s="64">
        <f>'Прил 6'!L100</f>
        <v>4500</v>
      </c>
    </row>
    <row r="107" spans="1:11" ht="62.4">
      <c r="A107" s="22" t="s">
        <v>408</v>
      </c>
      <c r="B107" s="83" t="s">
        <v>12</v>
      </c>
      <c r="C107" s="83" t="s">
        <v>47</v>
      </c>
      <c r="D107" s="83" t="s">
        <v>64</v>
      </c>
      <c r="E107" s="83" t="s">
        <v>14</v>
      </c>
      <c r="F107" s="83" t="s">
        <v>15</v>
      </c>
      <c r="G107" s="83" t="s">
        <v>407</v>
      </c>
      <c r="H107" s="83"/>
      <c r="I107" s="64">
        <f>I108</f>
        <v>4500</v>
      </c>
      <c r="J107" s="64">
        <f t="shared" ref="J107:K107" si="41">J108</f>
        <v>4500</v>
      </c>
      <c r="K107" s="64">
        <f t="shared" si="41"/>
        <v>4500</v>
      </c>
    </row>
    <row r="108" spans="1:11">
      <c r="A108" s="22" t="s">
        <v>39</v>
      </c>
      <c r="B108" s="83" t="s">
        <v>12</v>
      </c>
      <c r="C108" s="83" t="s">
        <v>47</v>
      </c>
      <c r="D108" s="83" t="s">
        <v>64</v>
      </c>
      <c r="E108" s="83" t="s">
        <v>14</v>
      </c>
      <c r="F108" s="83" t="s">
        <v>15</v>
      </c>
      <c r="G108" s="83" t="s">
        <v>407</v>
      </c>
      <c r="H108" s="83" t="s">
        <v>40</v>
      </c>
      <c r="I108" s="64">
        <f>'Прил 6'!J102</f>
        <v>4500</v>
      </c>
      <c r="J108" s="64">
        <f>'Прил 6'!K102</f>
        <v>4500</v>
      </c>
      <c r="K108" s="64">
        <f>'Прил 6'!L102</f>
        <v>4500</v>
      </c>
    </row>
    <row r="109" spans="1:11" ht="31.2">
      <c r="A109" s="22" t="s">
        <v>4</v>
      </c>
      <c r="B109" s="83" t="s">
        <v>12</v>
      </c>
      <c r="C109" s="83" t="s">
        <v>47</v>
      </c>
      <c r="D109" s="83" t="s">
        <v>64</v>
      </c>
      <c r="E109" s="83" t="s">
        <v>14</v>
      </c>
      <c r="F109" s="83" t="s">
        <v>15</v>
      </c>
      <c r="G109" s="83" t="s">
        <v>155</v>
      </c>
      <c r="H109" s="83"/>
      <c r="I109" s="64">
        <f>I110</f>
        <v>1500</v>
      </c>
      <c r="J109" s="64">
        <f t="shared" ref="J109:K109" si="42">J110</f>
        <v>1500</v>
      </c>
      <c r="K109" s="64">
        <f t="shared" si="42"/>
        <v>1500</v>
      </c>
    </row>
    <row r="110" spans="1:11">
      <c r="A110" s="22" t="s">
        <v>59</v>
      </c>
      <c r="B110" s="83" t="s">
        <v>12</v>
      </c>
      <c r="C110" s="83" t="s">
        <v>47</v>
      </c>
      <c r="D110" s="83" t="s">
        <v>64</v>
      </c>
      <c r="E110" s="83" t="s">
        <v>14</v>
      </c>
      <c r="F110" s="83" t="s">
        <v>15</v>
      </c>
      <c r="G110" s="83" t="s">
        <v>155</v>
      </c>
      <c r="H110" s="83" t="s">
        <v>60</v>
      </c>
      <c r="I110" s="64">
        <f>'Прил 6'!J104</f>
        <v>1500</v>
      </c>
      <c r="J110" s="64">
        <f>'Прил 6'!K104</f>
        <v>1500</v>
      </c>
      <c r="K110" s="64">
        <f>'Прил 6'!L104</f>
        <v>1500</v>
      </c>
    </row>
    <row r="111" spans="1:11" ht="46.8">
      <c r="A111" s="21" t="s">
        <v>156</v>
      </c>
      <c r="B111" s="83" t="s">
        <v>12</v>
      </c>
      <c r="C111" s="83" t="s">
        <v>47</v>
      </c>
      <c r="D111" s="83" t="s">
        <v>38</v>
      </c>
      <c r="E111" s="84">
        <v>0</v>
      </c>
      <c r="F111" s="83" t="s">
        <v>15</v>
      </c>
      <c r="G111" s="83" t="s">
        <v>16</v>
      </c>
      <c r="H111" s="84"/>
      <c r="I111" s="64">
        <f>I112</f>
        <v>30600</v>
      </c>
      <c r="J111" s="64">
        <f t="shared" ref="J111:K113" si="43">J112</f>
        <v>30600</v>
      </c>
      <c r="K111" s="64">
        <f t="shared" si="43"/>
        <v>26500</v>
      </c>
    </row>
    <row r="112" spans="1:11">
      <c r="A112" s="22" t="s">
        <v>157</v>
      </c>
      <c r="B112" s="83" t="s">
        <v>12</v>
      </c>
      <c r="C112" s="83" t="s">
        <v>47</v>
      </c>
      <c r="D112" s="83" t="s">
        <v>38</v>
      </c>
      <c r="E112" s="83" t="s">
        <v>14</v>
      </c>
      <c r="F112" s="83" t="s">
        <v>12</v>
      </c>
      <c r="G112" s="83" t="s">
        <v>16</v>
      </c>
      <c r="H112" s="83"/>
      <c r="I112" s="64">
        <f>I113</f>
        <v>30600</v>
      </c>
      <c r="J112" s="64">
        <f t="shared" si="43"/>
        <v>30600</v>
      </c>
      <c r="K112" s="64">
        <f t="shared" si="43"/>
        <v>26500</v>
      </c>
    </row>
    <row r="113" spans="1:11">
      <c r="A113" s="22" t="s">
        <v>158</v>
      </c>
      <c r="B113" s="83" t="s">
        <v>12</v>
      </c>
      <c r="C113" s="83" t="s">
        <v>47</v>
      </c>
      <c r="D113" s="83" t="s">
        <v>38</v>
      </c>
      <c r="E113" s="83" t="s">
        <v>14</v>
      </c>
      <c r="F113" s="83" t="s">
        <v>12</v>
      </c>
      <c r="G113" s="83" t="s">
        <v>159</v>
      </c>
      <c r="H113" s="83"/>
      <c r="I113" s="64">
        <f>I114</f>
        <v>30600</v>
      </c>
      <c r="J113" s="64">
        <f t="shared" si="43"/>
        <v>30600</v>
      </c>
      <c r="K113" s="64">
        <f t="shared" si="43"/>
        <v>26500</v>
      </c>
    </row>
    <row r="114" spans="1:11" ht="31.2">
      <c r="A114" s="22" t="s">
        <v>22</v>
      </c>
      <c r="B114" s="83" t="s">
        <v>12</v>
      </c>
      <c r="C114" s="83" t="s">
        <v>47</v>
      </c>
      <c r="D114" s="83" t="s">
        <v>38</v>
      </c>
      <c r="E114" s="83" t="s">
        <v>14</v>
      </c>
      <c r="F114" s="83" t="s">
        <v>12</v>
      </c>
      <c r="G114" s="83" t="s">
        <v>159</v>
      </c>
      <c r="H114" s="83" t="s">
        <v>23</v>
      </c>
      <c r="I114" s="64">
        <f>'Прил 6'!J108</f>
        <v>30600</v>
      </c>
      <c r="J114" s="64">
        <f>'Прил 6'!K108</f>
        <v>30600</v>
      </c>
      <c r="K114" s="64">
        <f>'Прил 6'!L108</f>
        <v>26500</v>
      </c>
    </row>
    <row r="115" spans="1:11" ht="46.8">
      <c r="A115" s="21" t="s">
        <v>102</v>
      </c>
      <c r="B115" s="83" t="s">
        <v>12</v>
      </c>
      <c r="C115" s="84">
        <v>13</v>
      </c>
      <c r="D115" s="83" t="s">
        <v>42</v>
      </c>
      <c r="E115" s="84">
        <v>0</v>
      </c>
      <c r="F115" s="83" t="s">
        <v>15</v>
      </c>
      <c r="G115" s="83" t="s">
        <v>16</v>
      </c>
      <c r="H115" s="84"/>
      <c r="I115" s="64">
        <f>I116</f>
        <v>84000</v>
      </c>
      <c r="J115" s="64">
        <f t="shared" ref="J115:K117" si="44">J116</f>
        <v>84000</v>
      </c>
      <c r="K115" s="64">
        <f t="shared" si="44"/>
        <v>70000</v>
      </c>
    </row>
    <row r="116" spans="1:11">
      <c r="A116" s="22" t="s">
        <v>103</v>
      </c>
      <c r="B116" s="83" t="s">
        <v>12</v>
      </c>
      <c r="C116" s="83" t="s">
        <v>47</v>
      </c>
      <c r="D116" s="83" t="s">
        <v>42</v>
      </c>
      <c r="E116" s="83" t="s">
        <v>14</v>
      </c>
      <c r="F116" s="83" t="s">
        <v>12</v>
      </c>
      <c r="G116" s="83" t="s">
        <v>16</v>
      </c>
      <c r="H116" s="83"/>
      <c r="I116" s="64">
        <f>I117</f>
        <v>84000</v>
      </c>
      <c r="J116" s="64">
        <f t="shared" si="44"/>
        <v>84000</v>
      </c>
      <c r="K116" s="64">
        <f t="shared" si="44"/>
        <v>70000</v>
      </c>
    </row>
    <row r="117" spans="1:11">
      <c r="A117" s="22" t="s">
        <v>103</v>
      </c>
      <c r="B117" s="83" t="s">
        <v>12</v>
      </c>
      <c r="C117" s="83" t="s">
        <v>47</v>
      </c>
      <c r="D117" s="83" t="s">
        <v>42</v>
      </c>
      <c r="E117" s="83" t="s">
        <v>14</v>
      </c>
      <c r="F117" s="83" t="s">
        <v>12</v>
      </c>
      <c r="G117" s="83" t="s">
        <v>104</v>
      </c>
      <c r="H117" s="83"/>
      <c r="I117" s="64">
        <f>I118</f>
        <v>84000</v>
      </c>
      <c r="J117" s="64">
        <f t="shared" si="44"/>
        <v>84000</v>
      </c>
      <c r="K117" s="64">
        <f t="shared" si="44"/>
        <v>70000</v>
      </c>
    </row>
    <row r="118" spans="1:11" ht="31.2">
      <c r="A118" s="22" t="s">
        <v>22</v>
      </c>
      <c r="B118" s="83" t="s">
        <v>12</v>
      </c>
      <c r="C118" s="83" t="s">
        <v>47</v>
      </c>
      <c r="D118" s="83" t="s">
        <v>42</v>
      </c>
      <c r="E118" s="83" t="s">
        <v>14</v>
      </c>
      <c r="F118" s="83" t="s">
        <v>12</v>
      </c>
      <c r="G118" s="83" t="s">
        <v>104</v>
      </c>
      <c r="H118" s="83" t="s">
        <v>23</v>
      </c>
      <c r="I118" s="64">
        <f>'Прил 6'!J112</f>
        <v>84000</v>
      </c>
      <c r="J118" s="64">
        <f>'Прил 6'!K112</f>
        <v>84000</v>
      </c>
      <c r="K118" s="64">
        <f>'Прил 6'!L112</f>
        <v>70000</v>
      </c>
    </row>
    <row r="119" spans="1:11" ht="46.8">
      <c r="A119" s="21" t="s">
        <v>160</v>
      </c>
      <c r="B119" s="83" t="s">
        <v>12</v>
      </c>
      <c r="C119" s="84">
        <v>13</v>
      </c>
      <c r="D119" s="83" t="s">
        <v>47</v>
      </c>
      <c r="E119" s="84">
        <v>0</v>
      </c>
      <c r="F119" s="83" t="s">
        <v>15</v>
      </c>
      <c r="G119" s="83" t="s">
        <v>16</v>
      </c>
      <c r="H119" s="84"/>
      <c r="I119" s="64">
        <f>I120+I123+I126</f>
        <v>10000</v>
      </c>
      <c r="J119" s="64">
        <f t="shared" ref="J119:K119" si="45">J120+J123+J126</f>
        <v>10000</v>
      </c>
      <c r="K119" s="64">
        <f t="shared" si="45"/>
        <v>0</v>
      </c>
    </row>
    <row r="120" spans="1:11" ht="31.2">
      <c r="A120" s="22" t="s">
        <v>161</v>
      </c>
      <c r="B120" s="83" t="s">
        <v>12</v>
      </c>
      <c r="C120" s="83" t="s">
        <v>47</v>
      </c>
      <c r="D120" s="83" t="s">
        <v>47</v>
      </c>
      <c r="E120" s="83" t="s">
        <v>14</v>
      </c>
      <c r="F120" s="83" t="s">
        <v>13</v>
      </c>
      <c r="G120" s="83"/>
      <c r="H120" s="83"/>
      <c r="I120" s="64">
        <f>I121</f>
        <v>10000</v>
      </c>
      <c r="J120" s="64">
        <f t="shared" ref="J120:K121" si="46">J121</f>
        <v>10000</v>
      </c>
      <c r="K120" s="64">
        <f t="shared" si="46"/>
        <v>0</v>
      </c>
    </row>
    <row r="121" spans="1:11">
      <c r="A121" s="22" t="s">
        <v>162</v>
      </c>
      <c r="B121" s="83" t="s">
        <v>12</v>
      </c>
      <c r="C121" s="83" t="s">
        <v>47</v>
      </c>
      <c r="D121" s="83" t="s">
        <v>47</v>
      </c>
      <c r="E121" s="83" t="s">
        <v>14</v>
      </c>
      <c r="F121" s="83" t="s">
        <v>13</v>
      </c>
      <c r="G121" s="83" t="s">
        <v>163</v>
      </c>
      <c r="H121" s="83"/>
      <c r="I121" s="64">
        <f>I122</f>
        <v>10000</v>
      </c>
      <c r="J121" s="64">
        <f t="shared" si="46"/>
        <v>10000</v>
      </c>
      <c r="K121" s="64">
        <f t="shared" si="46"/>
        <v>0</v>
      </c>
    </row>
    <row r="122" spans="1:11" ht="31.2">
      <c r="A122" s="22" t="s">
        <v>22</v>
      </c>
      <c r="B122" s="83" t="s">
        <v>12</v>
      </c>
      <c r="C122" s="83" t="s">
        <v>47</v>
      </c>
      <c r="D122" s="83" t="s">
        <v>47</v>
      </c>
      <c r="E122" s="83" t="s">
        <v>14</v>
      </c>
      <c r="F122" s="83" t="s">
        <v>13</v>
      </c>
      <c r="G122" s="83" t="s">
        <v>163</v>
      </c>
      <c r="H122" s="83" t="s">
        <v>23</v>
      </c>
      <c r="I122" s="64">
        <f>'Прил 6'!J119</f>
        <v>10000</v>
      </c>
      <c r="J122" s="64">
        <f>'Прил 6'!K119</f>
        <v>10000</v>
      </c>
      <c r="K122" s="64">
        <f>'Прил 6'!L119</f>
        <v>0</v>
      </c>
    </row>
    <row r="123" spans="1:11" ht="46.8" hidden="1">
      <c r="A123" s="22" t="s">
        <v>164</v>
      </c>
      <c r="B123" s="83" t="s">
        <v>12</v>
      </c>
      <c r="C123" s="83" t="s">
        <v>47</v>
      </c>
      <c r="D123" s="83" t="s">
        <v>47</v>
      </c>
      <c r="E123" s="83" t="s">
        <v>14</v>
      </c>
      <c r="F123" s="83" t="s">
        <v>19</v>
      </c>
      <c r="G123" s="83"/>
      <c r="H123" s="83"/>
      <c r="I123" s="64">
        <f>I124</f>
        <v>0</v>
      </c>
      <c r="J123" s="64">
        <f t="shared" ref="J123:K124" si="47">J124</f>
        <v>0</v>
      </c>
      <c r="K123" s="64">
        <f t="shared" si="47"/>
        <v>0</v>
      </c>
    </row>
    <row r="124" spans="1:11" hidden="1">
      <c r="A124" s="22" t="s">
        <v>165</v>
      </c>
      <c r="B124" s="83" t="s">
        <v>12</v>
      </c>
      <c r="C124" s="83" t="s">
        <v>47</v>
      </c>
      <c r="D124" s="83" t="s">
        <v>47</v>
      </c>
      <c r="E124" s="83" t="s">
        <v>14</v>
      </c>
      <c r="F124" s="83" t="s">
        <v>19</v>
      </c>
      <c r="G124" s="83" t="s">
        <v>166</v>
      </c>
      <c r="H124" s="83"/>
      <c r="I124" s="64">
        <f>I125</f>
        <v>0</v>
      </c>
      <c r="J124" s="64">
        <f t="shared" si="47"/>
        <v>0</v>
      </c>
      <c r="K124" s="64">
        <f t="shared" si="47"/>
        <v>0</v>
      </c>
    </row>
    <row r="125" spans="1:11" ht="31.2" hidden="1">
      <c r="A125" s="22" t="s">
        <v>22</v>
      </c>
      <c r="B125" s="83" t="s">
        <v>12</v>
      </c>
      <c r="C125" s="83" t="s">
        <v>47</v>
      </c>
      <c r="D125" s="83" t="s">
        <v>47</v>
      </c>
      <c r="E125" s="83" t="s">
        <v>14</v>
      </c>
      <c r="F125" s="83" t="s">
        <v>19</v>
      </c>
      <c r="G125" s="83" t="s">
        <v>166</v>
      </c>
      <c r="H125" s="83" t="s">
        <v>23</v>
      </c>
      <c r="I125" s="64"/>
      <c r="J125" s="64"/>
      <c r="K125" s="64"/>
    </row>
    <row r="126" spans="1:11" ht="31.2" hidden="1">
      <c r="A126" s="22" t="s">
        <v>167</v>
      </c>
      <c r="B126" s="83" t="s">
        <v>12</v>
      </c>
      <c r="C126" s="83" t="s">
        <v>47</v>
      </c>
      <c r="D126" s="83" t="s">
        <v>47</v>
      </c>
      <c r="E126" s="83" t="s">
        <v>14</v>
      </c>
      <c r="F126" s="83" t="s">
        <v>32</v>
      </c>
      <c r="G126" s="83" t="s">
        <v>168</v>
      </c>
      <c r="H126" s="83"/>
      <c r="I126" s="64">
        <f>I127</f>
        <v>0</v>
      </c>
      <c r="J126" s="64">
        <f t="shared" ref="J126:K126" si="48">J127</f>
        <v>0</v>
      </c>
      <c r="K126" s="64">
        <f t="shared" si="48"/>
        <v>0</v>
      </c>
    </row>
    <row r="127" spans="1:11" ht="31.2" hidden="1">
      <c r="A127" s="22" t="s">
        <v>22</v>
      </c>
      <c r="B127" s="83" t="s">
        <v>12</v>
      </c>
      <c r="C127" s="83" t="s">
        <v>47</v>
      </c>
      <c r="D127" s="83" t="s">
        <v>47</v>
      </c>
      <c r="E127" s="83" t="s">
        <v>14</v>
      </c>
      <c r="F127" s="83" t="s">
        <v>32</v>
      </c>
      <c r="G127" s="83" t="s">
        <v>168</v>
      </c>
      <c r="H127" s="83" t="s">
        <v>23</v>
      </c>
      <c r="I127" s="64"/>
      <c r="J127" s="64"/>
      <c r="K127" s="64"/>
    </row>
    <row r="128" spans="1:11">
      <c r="A128" s="21" t="s">
        <v>95</v>
      </c>
      <c r="B128" s="83" t="s">
        <v>12</v>
      </c>
      <c r="C128" s="84">
        <v>13</v>
      </c>
      <c r="D128" s="83" t="s">
        <v>169</v>
      </c>
      <c r="E128" s="84">
        <v>0</v>
      </c>
      <c r="F128" s="83" t="s">
        <v>15</v>
      </c>
      <c r="G128" s="83" t="s">
        <v>16</v>
      </c>
      <c r="H128" s="84"/>
      <c r="I128" s="64">
        <f>I129</f>
        <v>70000</v>
      </c>
      <c r="J128" s="64">
        <f t="shared" ref="J128:K130" si="49">J129</f>
        <v>70000</v>
      </c>
      <c r="K128" s="64">
        <f t="shared" si="49"/>
        <v>60488</v>
      </c>
    </row>
    <row r="129" spans="1:11">
      <c r="A129" s="21" t="s">
        <v>96</v>
      </c>
      <c r="B129" s="83" t="s">
        <v>12</v>
      </c>
      <c r="C129" s="84">
        <v>13</v>
      </c>
      <c r="D129" s="84">
        <v>91</v>
      </c>
      <c r="E129" s="84">
        <v>1</v>
      </c>
      <c r="F129" s="83" t="s">
        <v>15</v>
      </c>
      <c r="G129" s="83" t="s">
        <v>16</v>
      </c>
      <c r="H129" s="84"/>
      <c r="I129" s="64">
        <f>I130</f>
        <v>70000</v>
      </c>
      <c r="J129" s="64">
        <f t="shared" si="49"/>
        <v>70000</v>
      </c>
      <c r="K129" s="64">
        <f t="shared" si="49"/>
        <v>60488</v>
      </c>
    </row>
    <row r="130" spans="1:11" ht="31.2">
      <c r="A130" s="21" t="s">
        <v>170</v>
      </c>
      <c r="B130" s="83" t="s">
        <v>12</v>
      </c>
      <c r="C130" s="84">
        <v>13</v>
      </c>
      <c r="D130" s="84">
        <v>91</v>
      </c>
      <c r="E130" s="84">
        <v>1</v>
      </c>
      <c r="F130" s="83" t="s">
        <v>15</v>
      </c>
      <c r="G130" s="83" t="s">
        <v>171</v>
      </c>
      <c r="H130" s="84"/>
      <c r="I130" s="64">
        <f>I131</f>
        <v>70000</v>
      </c>
      <c r="J130" s="64">
        <f t="shared" si="49"/>
        <v>70000</v>
      </c>
      <c r="K130" s="64">
        <f t="shared" si="49"/>
        <v>60488</v>
      </c>
    </row>
    <row r="131" spans="1:11" ht="31.2">
      <c r="A131" s="21" t="s">
        <v>22</v>
      </c>
      <c r="B131" s="83" t="s">
        <v>12</v>
      </c>
      <c r="C131" s="84">
        <v>13</v>
      </c>
      <c r="D131" s="84">
        <v>91</v>
      </c>
      <c r="E131" s="84">
        <v>1</v>
      </c>
      <c r="F131" s="83" t="s">
        <v>15</v>
      </c>
      <c r="G131" s="83" t="s">
        <v>171</v>
      </c>
      <c r="H131" s="84">
        <v>240</v>
      </c>
      <c r="I131" s="64">
        <f>'Прил 6'!J438</f>
        <v>70000</v>
      </c>
      <c r="J131" s="64">
        <f>'Прил 6'!K438</f>
        <v>70000</v>
      </c>
      <c r="K131" s="64">
        <f>'Прил 6'!L438</f>
        <v>60488</v>
      </c>
    </row>
    <row r="132" spans="1:11">
      <c r="A132" s="22" t="s">
        <v>105</v>
      </c>
      <c r="B132" s="83" t="s">
        <v>12</v>
      </c>
      <c r="C132" s="83" t="s">
        <v>47</v>
      </c>
      <c r="D132" s="84">
        <v>92</v>
      </c>
      <c r="E132" s="83"/>
      <c r="F132" s="83"/>
      <c r="G132" s="84"/>
      <c r="H132" s="83"/>
      <c r="I132" s="64">
        <f>I133</f>
        <v>20028.07</v>
      </c>
      <c r="J132" s="64">
        <f t="shared" ref="J132:K133" si="50">J133</f>
        <v>20028.07</v>
      </c>
      <c r="K132" s="64">
        <f t="shared" si="50"/>
        <v>20028.07</v>
      </c>
    </row>
    <row r="133" spans="1:11">
      <c r="A133" s="22" t="s">
        <v>172</v>
      </c>
      <c r="B133" s="83" t="s">
        <v>12</v>
      </c>
      <c r="C133" s="83" t="s">
        <v>47</v>
      </c>
      <c r="D133" s="84">
        <v>92</v>
      </c>
      <c r="E133" s="83" t="s">
        <v>20</v>
      </c>
      <c r="F133" s="83"/>
      <c r="G133" s="84"/>
      <c r="H133" s="83"/>
      <c r="I133" s="64">
        <f>I134</f>
        <v>20028.07</v>
      </c>
      <c r="J133" s="64">
        <f t="shared" si="50"/>
        <v>20028.07</v>
      </c>
      <c r="K133" s="64">
        <f t="shared" si="50"/>
        <v>20028.07</v>
      </c>
    </row>
    <row r="134" spans="1:11" ht="46.8">
      <c r="A134" s="22" t="s">
        <v>173</v>
      </c>
      <c r="B134" s="83" t="s">
        <v>12</v>
      </c>
      <c r="C134" s="83" t="s">
        <v>47</v>
      </c>
      <c r="D134" s="84">
        <v>92</v>
      </c>
      <c r="E134" s="83" t="s">
        <v>20</v>
      </c>
      <c r="F134" s="83" t="s">
        <v>15</v>
      </c>
      <c r="G134" s="84"/>
      <c r="H134" s="83"/>
      <c r="I134" s="64">
        <f>SUM(I135:I137)</f>
        <v>20028.07</v>
      </c>
      <c r="J134" s="64">
        <f t="shared" ref="J134:K134" si="51">SUM(J135:J137)</f>
        <v>20028.07</v>
      </c>
      <c r="K134" s="64">
        <f t="shared" si="51"/>
        <v>20028.07</v>
      </c>
    </row>
    <row r="135" spans="1:11" ht="31.2">
      <c r="A135" s="22" t="s">
        <v>22</v>
      </c>
      <c r="B135" s="83" t="s">
        <v>12</v>
      </c>
      <c r="C135" s="83" t="s">
        <v>47</v>
      </c>
      <c r="D135" s="84">
        <v>92</v>
      </c>
      <c r="E135" s="83" t="s">
        <v>20</v>
      </c>
      <c r="F135" s="83" t="s">
        <v>15</v>
      </c>
      <c r="G135" s="84">
        <v>26390</v>
      </c>
      <c r="H135" s="83" t="s">
        <v>23</v>
      </c>
      <c r="I135" s="64">
        <f>'Прил 6'!J132</f>
        <v>18028.07</v>
      </c>
      <c r="J135" s="64">
        <f>'Прил 6'!K132</f>
        <v>18028.07</v>
      </c>
      <c r="K135" s="64">
        <f>'Прил 6'!L132</f>
        <v>18028.07</v>
      </c>
    </row>
    <row r="136" spans="1:11">
      <c r="A136" s="22" t="s">
        <v>51</v>
      </c>
      <c r="B136" s="83" t="s">
        <v>12</v>
      </c>
      <c r="C136" s="83" t="s">
        <v>47</v>
      </c>
      <c r="D136" s="84">
        <v>92</v>
      </c>
      <c r="E136" s="83" t="s">
        <v>20</v>
      </c>
      <c r="F136" s="83" t="s">
        <v>15</v>
      </c>
      <c r="G136" s="84">
        <v>26390</v>
      </c>
      <c r="H136" s="83" t="s">
        <v>52</v>
      </c>
      <c r="I136" s="64">
        <f>'Прил 6'!J133</f>
        <v>2000</v>
      </c>
      <c r="J136" s="64">
        <f>'Прил 6'!K133</f>
        <v>2000</v>
      </c>
      <c r="K136" s="64">
        <f>'Прил 6'!L133</f>
        <v>2000</v>
      </c>
    </row>
    <row r="137" spans="1:11" hidden="1">
      <c r="A137" s="22" t="s">
        <v>24</v>
      </c>
      <c r="B137" s="83" t="s">
        <v>12</v>
      </c>
      <c r="C137" s="83" t="s">
        <v>47</v>
      </c>
      <c r="D137" s="84">
        <v>92</v>
      </c>
      <c r="E137" s="83" t="s">
        <v>20</v>
      </c>
      <c r="F137" s="83" t="s">
        <v>15</v>
      </c>
      <c r="G137" s="84">
        <v>26390</v>
      </c>
      <c r="H137" s="83" t="s">
        <v>25</v>
      </c>
      <c r="I137" s="64"/>
      <c r="J137" s="64"/>
      <c r="K137" s="64"/>
    </row>
    <row r="138" spans="1:11">
      <c r="A138" s="22" t="s">
        <v>27</v>
      </c>
      <c r="B138" s="83" t="s">
        <v>12</v>
      </c>
      <c r="C138" s="83" t="s">
        <v>47</v>
      </c>
      <c r="D138" s="83" t="s">
        <v>28</v>
      </c>
      <c r="E138" s="84">
        <v>0</v>
      </c>
      <c r="F138" s="83" t="s">
        <v>15</v>
      </c>
      <c r="G138" s="83" t="s">
        <v>16</v>
      </c>
      <c r="H138" s="84"/>
      <c r="I138" s="64">
        <f>I139</f>
        <v>289224</v>
      </c>
      <c r="J138" s="64">
        <f t="shared" ref="J138:K138" si="52">J139</f>
        <v>289224</v>
      </c>
      <c r="K138" s="64">
        <f t="shared" si="52"/>
        <v>204655.66</v>
      </c>
    </row>
    <row r="139" spans="1:11">
      <c r="A139" s="22" t="s">
        <v>174</v>
      </c>
      <c r="B139" s="83" t="s">
        <v>12</v>
      </c>
      <c r="C139" s="83" t="s">
        <v>47</v>
      </c>
      <c r="D139" s="83" t="s">
        <v>28</v>
      </c>
      <c r="E139" s="84">
        <v>9</v>
      </c>
      <c r="F139" s="83" t="s">
        <v>15</v>
      </c>
      <c r="G139" s="83" t="s">
        <v>16</v>
      </c>
      <c r="H139" s="84"/>
      <c r="I139" s="64">
        <f>I140+I142</f>
        <v>289224</v>
      </c>
      <c r="J139" s="64">
        <f t="shared" ref="J139:K139" si="53">J140+J142</f>
        <v>289224</v>
      </c>
      <c r="K139" s="64">
        <f t="shared" si="53"/>
        <v>204655.66</v>
      </c>
    </row>
    <row r="140" spans="1:11" ht="31.2">
      <c r="A140" s="22" t="s">
        <v>175</v>
      </c>
      <c r="B140" s="83" t="s">
        <v>12</v>
      </c>
      <c r="C140" s="83" t="s">
        <v>47</v>
      </c>
      <c r="D140" s="83" t="s">
        <v>28</v>
      </c>
      <c r="E140" s="84">
        <v>9</v>
      </c>
      <c r="F140" s="83" t="s">
        <v>15</v>
      </c>
      <c r="G140" s="83" t="s">
        <v>176</v>
      </c>
      <c r="H140" s="84"/>
      <c r="I140" s="64">
        <f>I141</f>
        <v>271000</v>
      </c>
      <c r="J140" s="64">
        <f t="shared" ref="J140:K140" si="54">J141</f>
        <v>271000</v>
      </c>
      <c r="K140" s="64">
        <f t="shared" si="54"/>
        <v>186997.66</v>
      </c>
    </row>
    <row r="141" spans="1:11" ht="31.2">
      <c r="A141" s="22" t="s">
        <v>22</v>
      </c>
      <c r="B141" s="83" t="s">
        <v>12</v>
      </c>
      <c r="C141" s="83" t="s">
        <v>47</v>
      </c>
      <c r="D141" s="83" t="s">
        <v>28</v>
      </c>
      <c r="E141" s="84">
        <v>9</v>
      </c>
      <c r="F141" s="83" t="s">
        <v>15</v>
      </c>
      <c r="G141" s="83" t="s">
        <v>176</v>
      </c>
      <c r="H141" s="84">
        <v>240</v>
      </c>
      <c r="I141" s="64">
        <f>'Прил 6'!J138</f>
        <v>271000</v>
      </c>
      <c r="J141" s="64">
        <f>'Прил 6'!K138</f>
        <v>271000</v>
      </c>
      <c r="K141" s="64">
        <f>'Прил 6'!L138</f>
        <v>186997.66</v>
      </c>
    </row>
    <row r="142" spans="1:11">
      <c r="A142" s="22" t="s">
        <v>177</v>
      </c>
      <c r="B142" s="83" t="s">
        <v>12</v>
      </c>
      <c r="C142" s="83" t="s">
        <v>47</v>
      </c>
      <c r="D142" s="83" t="s">
        <v>28</v>
      </c>
      <c r="E142" s="84">
        <v>9</v>
      </c>
      <c r="F142" s="83" t="s">
        <v>15</v>
      </c>
      <c r="G142" s="84">
        <v>29090</v>
      </c>
      <c r="H142" s="83"/>
      <c r="I142" s="64">
        <f>I143</f>
        <v>18224</v>
      </c>
      <c r="J142" s="64">
        <f t="shared" ref="J142:K142" si="55">J143</f>
        <v>18224</v>
      </c>
      <c r="K142" s="64">
        <f t="shared" si="55"/>
        <v>17658</v>
      </c>
    </row>
    <row r="143" spans="1:11">
      <c r="A143" s="22" t="s">
        <v>24</v>
      </c>
      <c r="B143" s="83" t="s">
        <v>12</v>
      </c>
      <c r="C143" s="83" t="s">
        <v>47</v>
      </c>
      <c r="D143" s="83" t="s">
        <v>28</v>
      </c>
      <c r="E143" s="84">
        <v>9</v>
      </c>
      <c r="F143" s="83" t="s">
        <v>15</v>
      </c>
      <c r="G143" s="84">
        <v>29090</v>
      </c>
      <c r="H143" s="83" t="s">
        <v>25</v>
      </c>
      <c r="I143" s="64">
        <f>'Прил 6'!J140</f>
        <v>18224</v>
      </c>
      <c r="J143" s="64">
        <f>'Прил 6'!K140</f>
        <v>18224</v>
      </c>
      <c r="K143" s="64">
        <f>'Прил 6'!L140</f>
        <v>17658</v>
      </c>
    </row>
    <row r="144" spans="1:11">
      <c r="A144" s="29" t="s">
        <v>54</v>
      </c>
      <c r="B144" s="83" t="s">
        <v>13</v>
      </c>
      <c r="C144" s="84" t="s">
        <v>1</v>
      </c>
      <c r="D144" s="83" t="s">
        <v>93</v>
      </c>
      <c r="E144" s="84"/>
      <c r="F144" s="83"/>
      <c r="G144" s="83"/>
      <c r="H144" s="84" t="s">
        <v>94</v>
      </c>
      <c r="I144" s="63">
        <f>I145</f>
        <v>487150</v>
      </c>
      <c r="J144" s="63">
        <f t="shared" ref="J144:K147" si="56">J145</f>
        <v>487150</v>
      </c>
      <c r="K144" s="63">
        <f t="shared" si="56"/>
        <v>487150</v>
      </c>
    </row>
    <row r="145" spans="1:11">
      <c r="A145" s="30" t="s">
        <v>55</v>
      </c>
      <c r="B145" s="83" t="s">
        <v>13</v>
      </c>
      <c r="C145" s="83" t="s">
        <v>19</v>
      </c>
      <c r="D145" s="83" t="s">
        <v>93</v>
      </c>
      <c r="E145" s="84"/>
      <c r="F145" s="83"/>
      <c r="G145" s="83"/>
      <c r="H145" s="84" t="s">
        <v>94</v>
      </c>
      <c r="I145" s="64">
        <f>I146</f>
        <v>487150</v>
      </c>
      <c r="J145" s="64">
        <f t="shared" si="56"/>
        <v>487150</v>
      </c>
      <c r="K145" s="64">
        <f t="shared" si="56"/>
        <v>487150</v>
      </c>
    </row>
    <row r="146" spans="1:11">
      <c r="A146" s="22" t="s">
        <v>27</v>
      </c>
      <c r="B146" s="83" t="s">
        <v>13</v>
      </c>
      <c r="C146" s="83" t="s">
        <v>19</v>
      </c>
      <c r="D146" s="83" t="s">
        <v>28</v>
      </c>
      <c r="E146" s="84">
        <v>0</v>
      </c>
      <c r="F146" s="83" t="s">
        <v>15</v>
      </c>
      <c r="G146" s="83" t="s">
        <v>16</v>
      </c>
      <c r="H146" s="84"/>
      <c r="I146" s="64">
        <f>I147</f>
        <v>487150</v>
      </c>
      <c r="J146" s="64">
        <f t="shared" si="56"/>
        <v>487150</v>
      </c>
      <c r="K146" s="64">
        <f t="shared" si="56"/>
        <v>487150</v>
      </c>
    </row>
    <row r="147" spans="1:11">
      <c r="A147" s="22" t="s">
        <v>174</v>
      </c>
      <c r="B147" s="83" t="s">
        <v>13</v>
      </c>
      <c r="C147" s="83" t="s">
        <v>19</v>
      </c>
      <c r="D147" s="83" t="s">
        <v>28</v>
      </c>
      <c r="E147" s="84">
        <v>9</v>
      </c>
      <c r="F147" s="83" t="s">
        <v>15</v>
      </c>
      <c r="G147" s="83" t="s">
        <v>16</v>
      </c>
      <c r="H147" s="84"/>
      <c r="I147" s="64">
        <f>I148</f>
        <v>487150</v>
      </c>
      <c r="J147" s="64">
        <f t="shared" si="56"/>
        <v>487150</v>
      </c>
      <c r="K147" s="64">
        <f t="shared" si="56"/>
        <v>487150</v>
      </c>
    </row>
    <row r="148" spans="1:11" ht="46.8">
      <c r="A148" s="21" t="s">
        <v>178</v>
      </c>
      <c r="B148" s="83" t="s">
        <v>13</v>
      </c>
      <c r="C148" s="83" t="s">
        <v>19</v>
      </c>
      <c r="D148" s="83" t="s">
        <v>28</v>
      </c>
      <c r="E148" s="84">
        <v>9</v>
      </c>
      <c r="F148" s="83" t="s">
        <v>15</v>
      </c>
      <c r="G148" s="83" t="s">
        <v>56</v>
      </c>
      <c r="H148" s="84"/>
      <c r="I148" s="64">
        <f>SUM(I149:I150)</f>
        <v>487150</v>
      </c>
      <c r="J148" s="64">
        <f t="shared" ref="J148:K148" si="57">SUM(J149:J150)</f>
        <v>487150</v>
      </c>
      <c r="K148" s="64">
        <f t="shared" si="57"/>
        <v>487150</v>
      </c>
    </row>
    <row r="149" spans="1:11">
      <c r="A149" s="21" t="s">
        <v>99</v>
      </c>
      <c r="B149" s="83" t="s">
        <v>13</v>
      </c>
      <c r="C149" s="83" t="s">
        <v>19</v>
      </c>
      <c r="D149" s="83" t="s">
        <v>28</v>
      </c>
      <c r="E149" s="84">
        <v>9</v>
      </c>
      <c r="F149" s="83" t="s">
        <v>15</v>
      </c>
      <c r="G149" s="83" t="s">
        <v>56</v>
      </c>
      <c r="H149" s="84">
        <v>120</v>
      </c>
      <c r="I149" s="64">
        <f>'Прил 6'!J146</f>
        <v>487150</v>
      </c>
      <c r="J149" s="64">
        <f>'Прил 6'!K146</f>
        <v>487150</v>
      </c>
      <c r="K149" s="64">
        <f>'Прил 6'!L146</f>
        <v>487150</v>
      </c>
    </row>
    <row r="150" spans="1:11" ht="31.2" hidden="1">
      <c r="A150" s="22" t="s">
        <v>22</v>
      </c>
      <c r="B150" s="83" t="s">
        <v>13</v>
      </c>
      <c r="C150" s="83" t="s">
        <v>19</v>
      </c>
      <c r="D150" s="83" t="s">
        <v>28</v>
      </c>
      <c r="E150" s="84">
        <v>9</v>
      </c>
      <c r="F150" s="83" t="s">
        <v>15</v>
      </c>
      <c r="G150" s="83" t="s">
        <v>56</v>
      </c>
      <c r="H150" s="84">
        <v>240</v>
      </c>
      <c r="I150" s="64"/>
      <c r="J150" s="64"/>
      <c r="K150" s="64"/>
    </row>
    <row r="151" spans="1:11">
      <c r="A151" s="29" t="s">
        <v>57</v>
      </c>
      <c r="B151" s="83" t="s">
        <v>19</v>
      </c>
      <c r="C151" s="83"/>
      <c r="D151" s="83"/>
      <c r="E151" s="84"/>
      <c r="F151" s="83"/>
      <c r="G151" s="83"/>
      <c r="H151" s="84"/>
      <c r="I151" s="64">
        <f>I152+I177+I191</f>
        <v>1861665.96</v>
      </c>
      <c r="J151" s="64">
        <f t="shared" ref="J151:K151" si="58">J152+J177+J191</f>
        <v>1861665.96</v>
      </c>
      <c r="K151" s="64">
        <f t="shared" si="58"/>
        <v>1038185.57</v>
      </c>
    </row>
    <row r="152" spans="1:11">
      <c r="A152" s="21" t="s">
        <v>388</v>
      </c>
      <c r="B152" s="83" t="s">
        <v>19</v>
      </c>
      <c r="C152" s="83" t="s">
        <v>50</v>
      </c>
      <c r="D152" s="83"/>
      <c r="E152" s="84"/>
      <c r="F152" s="83"/>
      <c r="G152" s="83"/>
      <c r="H152" s="84"/>
      <c r="I152" s="64">
        <f>I153+I173</f>
        <v>312061.11</v>
      </c>
      <c r="J152" s="64">
        <f t="shared" ref="J152:K152" si="59">J153+J173</f>
        <v>312061.11</v>
      </c>
      <c r="K152" s="64">
        <f t="shared" si="59"/>
        <v>312061.11</v>
      </c>
    </row>
    <row r="153" spans="1:11" ht="78">
      <c r="A153" s="21" t="s">
        <v>671</v>
      </c>
      <c r="B153" s="83" t="s">
        <v>19</v>
      </c>
      <c r="C153" s="83" t="s">
        <v>50</v>
      </c>
      <c r="D153" s="83" t="s">
        <v>13</v>
      </c>
      <c r="E153" s="84">
        <v>0</v>
      </c>
      <c r="F153" s="83" t="s">
        <v>15</v>
      </c>
      <c r="G153" s="83" t="s">
        <v>16</v>
      </c>
      <c r="H153" s="84"/>
      <c r="I153" s="64">
        <f>I154+I165+I168</f>
        <v>277561.11</v>
      </c>
      <c r="J153" s="64">
        <f t="shared" ref="J153:K153" si="60">J154+J165+J168</f>
        <v>277561.11</v>
      </c>
      <c r="K153" s="64">
        <f t="shared" si="60"/>
        <v>277561.11</v>
      </c>
    </row>
    <row r="154" spans="1:11" ht="31.2" hidden="1">
      <c r="A154" s="22" t="s">
        <v>180</v>
      </c>
      <c r="B154" s="83" t="s">
        <v>19</v>
      </c>
      <c r="C154" s="83" t="s">
        <v>50</v>
      </c>
      <c r="D154" s="83" t="s">
        <v>13</v>
      </c>
      <c r="E154" s="84">
        <v>1</v>
      </c>
      <c r="F154" s="83" t="s">
        <v>15</v>
      </c>
      <c r="G154" s="83" t="s">
        <v>16</v>
      </c>
      <c r="H154" s="84"/>
      <c r="I154" s="64">
        <f>I155+I157+I161+I163+I159</f>
        <v>0</v>
      </c>
      <c r="J154" s="64">
        <f t="shared" ref="J154:K154" si="61">J155+J157+J161+J163+J159</f>
        <v>0</v>
      </c>
      <c r="K154" s="64">
        <f t="shared" si="61"/>
        <v>0</v>
      </c>
    </row>
    <row r="155" spans="1:11" hidden="1">
      <c r="A155" s="22" t="s">
        <v>181</v>
      </c>
      <c r="B155" s="83" t="s">
        <v>19</v>
      </c>
      <c r="C155" s="83" t="s">
        <v>50</v>
      </c>
      <c r="D155" s="83" t="s">
        <v>13</v>
      </c>
      <c r="E155" s="84">
        <v>1</v>
      </c>
      <c r="F155" s="83" t="s">
        <v>15</v>
      </c>
      <c r="G155" s="83" t="s">
        <v>182</v>
      </c>
      <c r="H155" s="84"/>
      <c r="I155" s="64">
        <f>I156</f>
        <v>0</v>
      </c>
      <c r="J155" s="64">
        <f t="shared" ref="J155:K155" si="62">J156</f>
        <v>0</v>
      </c>
      <c r="K155" s="64">
        <f t="shared" si="62"/>
        <v>0</v>
      </c>
    </row>
    <row r="156" spans="1:11" ht="31.2" hidden="1">
      <c r="A156" s="22" t="s">
        <v>22</v>
      </c>
      <c r="B156" s="83" t="s">
        <v>19</v>
      </c>
      <c r="C156" s="83" t="s">
        <v>50</v>
      </c>
      <c r="D156" s="83" t="s">
        <v>13</v>
      </c>
      <c r="E156" s="84">
        <v>1</v>
      </c>
      <c r="F156" s="83" t="s">
        <v>15</v>
      </c>
      <c r="G156" s="83" t="s">
        <v>182</v>
      </c>
      <c r="H156" s="84">
        <v>240</v>
      </c>
      <c r="I156" s="64">
        <f>'Прил 6'!J153</f>
        <v>0</v>
      </c>
      <c r="J156" s="64">
        <f>'Прил 6'!K153</f>
        <v>0</v>
      </c>
      <c r="K156" s="64">
        <f>'Прил 6'!L153</f>
        <v>0</v>
      </c>
    </row>
    <row r="157" spans="1:11" hidden="1">
      <c r="A157" s="22" t="s">
        <v>183</v>
      </c>
      <c r="B157" s="83" t="s">
        <v>19</v>
      </c>
      <c r="C157" s="83" t="s">
        <v>50</v>
      </c>
      <c r="D157" s="83" t="s">
        <v>13</v>
      </c>
      <c r="E157" s="84">
        <v>1</v>
      </c>
      <c r="F157" s="83" t="s">
        <v>15</v>
      </c>
      <c r="G157" s="83" t="s">
        <v>184</v>
      </c>
      <c r="H157" s="84"/>
      <c r="I157" s="64">
        <f>I158</f>
        <v>0</v>
      </c>
      <c r="J157" s="64">
        <f t="shared" ref="J157:K157" si="63">J158</f>
        <v>0</v>
      </c>
      <c r="K157" s="64">
        <f t="shared" si="63"/>
        <v>0</v>
      </c>
    </row>
    <row r="158" spans="1:11" ht="31.2" hidden="1">
      <c r="A158" s="22" t="s">
        <v>22</v>
      </c>
      <c r="B158" s="83" t="s">
        <v>19</v>
      </c>
      <c r="C158" s="83" t="s">
        <v>50</v>
      </c>
      <c r="D158" s="83" t="s">
        <v>13</v>
      </c>
      <c r="E158" s="84">
        <v>1</v>
      </c>
      <c r="F158" s="83" t="s">
        <v>15</v>
      </c>
      <c r="G158" s="83" t="s">
        <v>184</v>
      </c>
      <c r="H158" s="84">
        <v>240</v>
      </c>
      <c r="I158" s="64"/>
      <c r="J158" s="64"/>
      <c r="K158" s="64"/>
    </row>
    <row r="159" spans="1:11" hidden="1">
      <c r="A159" s="22" t="s">
        <v>185</v>
      </c>
      <c r="B159" s="83" t="s">
        <v>19</v>
      </c>
      <c r="C159" s="83" t="s">
        <v>50</v>
      </c>
      <c r="D159" s="83" t="s">
        <v>13</v>
      </c>
      <c r="E159" s="84">
        <v>1</v>
      </c>
      <c r="F159" s="83" t="s">
        <v>15</v>
      </c>
      <c r="G159" s="83" t="s">
        <v>186</v>
      </c>
      <c r="H159" s="84"/>
      <c r="I159" s="64">
        <f>I160</f>
        <v>0</v>
      </c>
      <c r="J159" s="64">
        <f t="shared" ref="J159:K159" si="64">J160</f>
        <v>0</v>
      </c>
      <c r="K159" s="64">
        <f t="shared" si="64"/>
        <v>0</v>
      </c>
    </row>
    <row r="160" spans="1:11" ht="31.2" hidden="1">
      <c r="A160" s="22" t="s">
        <v>22</v>
      </c>
      <c r="B160" s="83" t="s">
        <v>19</v>
      </c>
      <c r="C160" s="83" t="s">
        <v>50</v>
      </c>
      <c r="D160" s="83" t="s">
        <v>13</v>
      </c>
      <c r="E160" s="84">
        <v>1</v>
      </c>
      <c r="F160" s="83" t="s">
        <v>15</v>
      </c>
      <c r="G160" s="83" t="s">
        <v>186</v>
      </c>
      <c r="H160" s="84">
        <v>240</v>
      </c>
      <c r="I160" s="64"/>
      <c r="J160" s="64"/>
      <c r="K160" s="64"/>
    </row>
    <row r="161" spans="1:11" ht="31.2" hidden="1">
      <c r="A161" s="22" t="s">
        <v>187</v>
      </c>
      <c r="B161" s="83" t="s">
        <v>19</v>
      </c>
      <c r="C161" s="83" t="s">
        <v>50</v>
      </c>
      <c r="D161" s="83" t="s">
        <v>13</v>
      </c>
      <c r="E161" s="84">
        <v>1</v>
      </c>
      <c r="F161" s="83" t="s">
        <v>15</v>
      </c>
      <c r="G161" s="83" t="s">
        <v>188</v>
      </c>
      <c r="H161" s="84"/>
      <c r="I161" s="64">
        <f>I162</f>
        <v>0</v>
      </c>
      <c r="J161" s="64">
        <f t="shared" ref="J161:K161" si="65">J162</f>
        <v>0</v>
      </c>
      <c r="K161" s="64">
        <f t="shared" si="65"/>
        <v>0</v>
      </c>
    </row>
    <row r="162" spans="1:11" ht="31.2" hidden="1">
      <c r="A162" s="22" t="s">
        <v>22</v>
      </c>
      <c r="B162" s="83" t="s">
        <v>19</v>
      </c>
      <c r="C162" s="83" t="s">
        <v>50</v>
      </c>
      <c r="D162" s="83" t="s">
        <v>13</v>
      </c>
      <c r="E162" s="84">
        <v>1</v>
      </c>
      <c r="F162" s="83" t="s">
        <v>15</v>
      </c>
      <c r="G162" s="83" t="s">
        <v>188</v>
      </c>
      <c r="H162" s="84">
        <v>240</v>
      </c>
      <c r="I162" s="64">
        <f>'Прил 6'!J159</f>
        <v>0</v>
      </c>
      <c r="J162" s="64">
        <f>'Прил 6'!K159</f>
        <v>0</v>
      </c>
      <c r="K162" s="64">
        <f>'Прил 6'!L159</f>
        <v>0</v>
      </c>
    </row>
    <row r="163" spans="1:11" hidden="1">
      <c r="A163" s="22" t="s">
        <v>189</v>
      </c>
      <c r="B163" s="83" t="s">
        <v>19</v>
      </c>
      <c r="C163" s="83" t="s">
        <v>50</v>
      </c>
      <c r="D163" s="83" t="s">
        <v>13</v>
      </c>
      <c r="E163" s="84">
        <v>1</v>
      </c>
      <c r="F163" s="83" t="s">
        <v>15</v>
      </c>
      <c r="G163" s="83" t="s">
        <v>190</v>
      </c>
      <c r="H163" s="84"/>
      <c r="I163" s="64">
        <f>I164</f>
        <v>0</v>
      </c>
      <c r="J163" s="64">
        <f t="shared" ref="J163:K163" si="66">J164</f>
        <v>0</v>
      </c>
      <c r="K163" s="64">
        <f t="shared" si="66"/>
        <v>0</v>
      </c>
    </row>
    <row r="164" spans="1:11" ht="31.2" hidden="1">
      <c r="A164" s="22" t="s">
        <v>22</v>
      </c>
      <c r="B164" s="83" t="s">
        <v>19</v>
      </c>
      <c r="C164" s="83" t="s">
        <v>50</v>
      </c>
      <c r="D164" s="83" t="s">
        <v>13</v>
      </c>
      <c r="E164" s="84">
        <v>1</v>
      </c>
      <c r="F164" s="83" t="s">
        <v>15</v>
      </c>
      <c r="G164" s="83" t="s">
        <v>190</v>
      </c>
      <c r="H164" s="84">
        <v>240</v>
      </c>
      <c r="I164" s="64">
        <f>'Прил 6'!J161</f>
        <v>0</v>
      </c>
      <c r="J164" s="64">
        <f>'Прил 6'!K161</f>
        <v>0</v>
      </c>
      <c r="K164" s="64">
        <f>'Прил 6'!L161</f>
        <v>0</v>
      </c>
    </row>
    <row r="165" spans="1:11" ht="46.8" hidden="1">
      <c r="A165" s="31" t="s">
        <v>191</v>
      </c>
      <c r="B165" s="83" t="s">
        <v>19</v>
      </c>
      <c r="C165" s="83" t="s">
        <v>50</v>
      </c>
      <c r="D165" s="83" t="s">
        <v>13</v>
      </c>
      <c r="E165" s="84">
        <v>2</v>
      </c>
      <c r="F165" s="83" t="s">
        <v>15</v>
      </c>
      <c r="G165" s="83" t="s">
        <v>16</v>
      </c>
      <c r="H165" s="84"/>
      <c r="I165" s="64">
        <f>I166</f>
        <v>0</v>
      </c>
      <c r="J165" s="64">
        <f t="shared" ref="J165:K166" si="67">J166</f>
        <v>0</v>
      </c>
      <c r="K165" s="64">
        <f t="shared" si="67"/>
        <v>0</v>
      </c>
    </row>
    <row r="166" spans="1:11" hidden="1">
      <c r="A166" s="31" t="s">
        <v>192</v>
      </c>
      <c r="B166" s="83" t="s">
        <v>19</v>
      </c>
      <c r="C166" s="83" t="s">
        <v>50</v>
      </c>
      <c r="D166" s="83" t="s">
        <v>13</v>
      </c>
      <c r="E166" s="84">
        <v>2</v>
      </c>
      <c r="F166" s="83" t="s">
        <v>15</v>
      </c>
      <c r="G166" s="83" t="s">
        <v>193</v>
      </c>
      <c r="H166" s="84"/>
      <c r="I166" s="64">
        <f>I167</f>
        <v>0</v>
      </c>
      <c r="J166" s="64">
        <f t="shared" si="67"/>
        <v>0</v>
      </c>
      <c r="K166" s="64">
        <f t="shared" si="67"/>
        <v>0</v>
      </c>
    </row>
    <row r="167" spans="1:11" ht="31.2" hidden="1">
      <c r="A167" s="22" t="s">
        <v>22</v>
      </c>
      <c r="B167" s="83" t="s">
        <v>19</v>
      </c>
      <c r="C167" s="83" t="s">
        <v>50</v>
      </c>
      <c r="D167" s="83" t="s">
        <v>13</v>
      </c>
      <c r="E167" s="84">
        <v>2</v>
      </c>
      <c r="F167" s="83" t="s">
        <v>15</v>
      </c>
      <c r="G167" s="83" t="s">
        <v>193</v>
      </c>
      <c r="H167" s="84">
        <v>240</v>
      </c>
      <c r="I167" s="64">
        <f>'Прил 6'!J164</f>
        <v>0</v>
      </c>
      <c r="J167" s="64">
        <f>'Прил 6'!K164</f>
        <v>0</v>
      </c>
      <c r="K167" s="64">
        <f>'Прил 6'!L164</f>
        <v>0</v>
      </c>
    </row>
    <row r="168" spans="1:11" ht="46.8">
      <c r="A168" s="22" t="s">
        <v>194</v>
      </c>
      <c r="B168" s="83" t="s">
        <v>19</v>
      </c>
      <c r="C168" s="83" t="s">
        <v>50</v>
      </c>
      <c r="D168" s="83" t="s">
        <v>13</v>
      </c>
      <c r="E168" s="84">
        <v>3</v>
      </c>
      <c r="F168" s="83" t="s">
        <v>15</v>
      </c>
      <c r="G168" s="83" t="s">
        <v>16</v>
      </c>
      <c r="H168" s="84"/>
      <c r="I168" s="64">
        <f>I169+I171</f>
        <v>277561.11</v>
      </c>
      <c r="J168" s="64">
        <f t="shared" ref="J168:K168" si="68">J169+J171</f>
        <v>277561.11</v>
      </c>
      <c r="K168" s="64">
        <f t="shared" si="68"/>
        <v>277561.11</v>
      </c>
    </row>
    <row r="169" spans="1:11" ht="31.2">
      <c r="A169" s="22" t="s">
        <v>195</v>
      </c>
      <c r="B169" s="83" t="s">
        <v>19</v>
      </c>
      <c r="C169" s="83" t="s">
        <v>50</v>
      </c>
      <c r="D169" s="83" t="s">
        <v>13</v>
      </c>
      <c r="E169" s="84">
        <v>3</v>
      </c>
      <c r="F169" s="83" t="s">
        <v>15</v>
      </c>
      <c r="G169" s="83" t="s">
        <v>196</v>
      </c>
      <c r="H169" s="84"/>
      <c r="I169" s="64">
        <f>I170</f>
        <v>277561.11</v>
      </c>
      <c r="J169" s="64">
        <f t="shared" ref="J169:K169" si="69">J170</f>
        <v>277561.11</v>
      </c>
      <c r="K169" s="64">
        <f t="shared" si="69"/>
        <v>277561.11</v>
      </c>
    </row>
    <row r="170" spans="1:11" ht="31.2">
      <c r="A170" s="22" t="s">
        <v>22</v>
      </c>
      <c r="B170" s="83" t="s">
        <v>19</v>
      </c>
      <c r="C170" s="83" t="s">
        <v>50</v>
      </c>
      <c r="D170" s="83" t="s">
        <v>13</v>
      </c>
      <c r="E170" s="84">
        <v>3</v>
      </c>
      <c r="F170" s="83" t="s">
        <v>15</v>
      </c>
      <c r="G170" s="83" t="s">
        <v>196</v>
      </c>
      <c r="H170" s="84">
        <v>240</v>
      </c>
      <c r="I170" s="64">
        <f>'Прил 6'!J167</f>
        <v>277561.11</v>
      </c>
      <c r="J170" s="64">
        <f>'Прил 6'!K167</f>
        <v>277561.11</v>
      </c>
      <c r="K170" s="64">
        <f>'Прил 6'!L167</f>
        <v>277561.11</v>
      </c>
    </row>
    <row r="171" spans="1:11" ht="31.2" hidden="1">
      <c r="A171" s="22" t="s">
        <v>197</v>
      </c>
      <c r="B171" s="83" t="s">
        <v>19</v>
      </c>
      <c r="C171" s="83" t="s">
        <v>50</v>
      </c>
      <c r="D171" s="83" t="s">
        <v>13</v>
      </c>
      <c r="E171" s="84">
        <v>3</v>
      </c>
      <c r="F171" s="83" t="s">
        <v>15</v>
      </c>
      <c r="G171" s="83" t="s">
        <v>198</v>
      </c>
      <c r="H171" s="84"/>
      <c r="I171" s="64">
        <f>I172</f>
        <v>0</v>
      </c>
      <c r="J171" s="64">
        <f t="shared" ref="J171:K171" si="70">J172</f>
        <v>0</v>
      </c>
      <c r="K171" s="64">
        <f t="shared" si="70"/>
        <v>0</v>
      </c>
    </row>
    <row r="172" spans="1:11" ht="31.2" hidden="1">
      <c r="A172" s="22" t="s">
        <v>22</v>
      </c>
      <c r="B172" s="83" t="s">
        <v>19</v>
      </c>
      <c r="C172" s="83" t="s">
        <v>50</v>
      </c>
      <c r="D172" s="83" t="s">
        <v>13</v>
      </c>
      <c r="E172" s="84">
        <v>3</v>
      </c>
      <c r="F172" s="83" t="s">
        <v>15</v>
      </c>
      <c r="G172" s="83" t="s">
        <v>198</v>
      </c>
      <c r="H172" s="84">
        <v>240</v>
      </c>
      <c r="I172" s="64"/>
      <c r="J172" s="64"/>
      <c r="K172" s="64"/>
    </row>
    <row r="173" spans="1:11" ht="31.2">
      <c r="A173" s="22" t="s">
        <v>199</v>
      </c>
      <c r="B173" s="83" t="s">
        <v>19</v>
      </c>
      <c r="C173" s="83" t="s">
        <v>50</v>
      </c>
      <c r="D173" s="83">
        <v>97</v>
      </c>
      <c r="E173" s="84">
        <v>0</v>
      </c>
      <c r="F173" s="83" t="s">
        <v>15</v>
      </c>
      <c r="G173" s="83" t="s">
        <v>16</v>
      </c>
      <c r="H173" s="84"/>
      <c r="I173" s="64">
        <f>I174</f>
        <v>34500</v>
      </c>
      <c r="J173" s="64">
        <f t="shared" ref="J173:K175" si="71">J174</f>
        <v>34500</v>
      </c>
      <c r="K173" s="64">
        <f t="shared" si="71"/>
        <v>34500</v>
      </c>
    </row>
    <row r="174" spans="1:11" ht="46.8">
      <c r="A174" s="22" t="s">
        <v>111</v>
      </c>
      <c r="B174" s="83" t="s">
        <v>19</v>
      </c>
      <c r="C174" s="83" t="s">
        <v>50</v>
      </c>
      <c r="D174" s="83">
        <v>97</v>
      </c>
      <c r="E174" s="84">
        <v>2</v>
      </c>
      <c r="F174" s="83" t="s">
        <v>15</v>
      </c>
      <c r="G174" s="83" t="s">
        <v>16</v>
      </c>
      <c r="H174" s="84"/>
      <c r="I174" s="64">
        <f>I175</f>
        <v>34500</v>
      </c>
      <c r="J174" s="64">
        <f t="shared" si="71"/>
        <v>34500</v>
      </c>
      <c r="K174" s="64">
        <f t="shared" si="71"/>
        <v>34500</v>
      </c>
    </row>
    <row r="175" spans="1:11" ht="46.8">
      <c r="A175" s="22" t="s">
        <v>200</v>
      </c>
      <c r="B175" s="83" t="s">
        <v>19</v>
      </c>
      <c r="C175" s="83" t="s">
        <v>50</v>
      </c>
      <c r="D175" s="83" t="s">
        <v>113</v>
      </c>
      <c r="E175" s="84">
        <v>2</v>
      </c>
      <c r="F175" s="83" t="s">
        <v>15</v>
      </c>
      <c r="G175" s="83" t="s">
        <v>201</v>
      </c>
      <c r="H175" s="84"/>
      <c r="I175" s="64">
        <f>I176</f>
        <v>34500</v>
      </c>
      <c r="J175" s="64">
        <f t="shared" si="71"/>
        <v>34500</v>
      </c>
      <c r="K175" s="64">
        <f t="shared" si="71"/>
        <v>34500</v>
      </c>
    </row>
    <row r="176" spans="1:11">
      <c r="A176" s="27" t="s">
        <v>116</v>
      </c>
      <c r="B176" s="83" t="s">
        <v>19</v>
      </c>
      <c r="C176" s="83" t="s">
        <v>50</v>
      </c>
      <c r="D176" s="83" t="s">
        <v>113</v>
      </c>
      <c r="E176" s="84">
        <v>2</v>
      </c>
      <c r="F176" s="83" t="s">
        <v>15</v>
      </c>
      <c r="G176" s="83" t="s">
        <v>201</v>
      </c>
      <c r="H176" s="84">
        <v>540</v>
      </c>
      <c r="I176" s="64">
        <f>'Прил 6'!J173</f>
        <v>34500</v>
      </c>
      <c r="J176" s="64">
        <f>'Прил 6'!K173</f>
        <v>34500</v>
      </c>
      <c r="K176" s="64">
        <f>'Прил 6'!L173</f>
        <v>34500</v>
      </c>
    </row>
    <row r="177" spans="1:11" ht="31.2">
      <c r="A177" s="22" t="s">
        <v>389</v>
      </c>
      <c r="B177" s="83" t="s">
        <v>19</v>
      </c>
      <c r="C177" s="83" t="s">
        <v>38</v>
      </c>
      <c r="D177" s="83"/>
      <c r="E177" s="84"/>
      <c r="F177" s="83"/>
      <c r="G177" s="83"/>
      <c r="H177" s="84"/>
      <c r="I177" s="64">
        <f>I178+I187</f>
        <v>1549604.85</v>
      </c>
      <c r="J177" s="64">
        <f t="shared" ref="J177:K177" si="72">J178+J187</f>
        <v>1549604.8499999999</v>
      </c>
      <c r="K177" s="64">
        <f t="shared" si="72"/>
        <v>726124.46</v>
      </c>
    </row>
    <row r="178" spans="1:11" ht="78">
      <c r="A178" s="22" t="s">
        <v>671</v>
      </c>
      <c r="B178" s="83" t="s">
        <v>19</v>
      </c>
      <c r="C178" s="83" t="s">
        <v>38</v>
      </c>
      <c r="D178" s="83" t="s">
        <v>13</v>
      </c>
      <c r="E178" s="84">
        <v>0</v>
      </c>
      <c r="F178" s="83" t="s">
        <v>15</v>
      </c>
      <c r="G178" s="83" t="s">
        <v>16</v>
      </c>
      <c r="H178" s="84"/>
      <c r="I178" s="64">
        <f>I179+I184</f>
        <v>1201652.3500000001</v>
      </c>
      <c r="J178" s="64">
        <f t="shared" ref="J178:K178" si="73">J179+J184</f>
        <v>1201652.3499999999</v>
      </c>
      <c r="K178" s="64">
        <f t="shared" si="73"/>
        <v>378171.96</v>
      </c>
    </row>
    <row r="179" spans="1:11">
      <c r="A179" s="22" t="s">
        <v>202</v>
      </c>
      <c r="B179" s="83" t="s">
        <v>19</v>
      </c>
      <c r="C179" s="83" t="s">
        <v>38</v>
      </c>
      <c r="D179" s="83" t="s">
        <v>13</v>
      </c>
      <c r="E179" s="84">
        <v>4</v>
      </c>
      <c r="F179" s="83" t="s">
        <v>15</v>
      </c>
      <c r="G179" s="83" t="s">
        <v>16</v>
      </c>
      <c r="H179" s="84"/>
      <c r="I179" s="64">
        <f>I180+I182</f>
        <v>85171.96</v>
      </c>
      <c r="J179" s="64">
        <f t="shared" ref="J179:K179" si="74">J180+J182</f>
        <v>85171.96</v>
      </c>
      <c r="K179" s="64">
        <f t="shared" si="74"/>
        <v>85171.96</v>
      </c>
    </row>
    <row r="180" spans="1:11">
      <c r="A180" s="22" t="s">
        <v>202</v>
      </c>
      <c r="B180" s="83" t="s">
        <v>19</v>
      </c>
      <c r="C180" s="83" t="s">
        <v>38</v>
      </c>
      <c r="D180" s="83" t="s">
        <v>13</v>
      </c>
      <c r="E180" s="84">
        <v>4</v>
      </c>
      <c r="F180" s="83" t="s">
        <v>15</v>
      </c>
      <c r="G180" s="83" t="s">
        <v>203</v>
      </c>
      <c r="H180" s="84"/>
      <c r="I180" s="64">
        <f>I181</f>
        <v>85171.96</v>
      </c>
      <c r="J180" s="64">
        <f t="shared" ref="J180:K180" si="75">J181</f>
        <v>85171.96</v>
      </c>
      <c r="K180" s="64">
        <f t="shared" si="75"/>
        <v>85171.96</v>
      </c>
    </row>
    <row r="181" spans="1:11" ht="31.2">
      <c r="A181" s="22" t="s">
        <v>22</v>
      </c>
      <c r="B181" s="83" t="s">
        <v>19</v>
      </c>
      <c r="C181" s="83" t="s">
        <v>38</v>
      </c>
      <c r="D181" s="83" t="s">
        <v>13</v>
      </c>
      <c r="E181" s="84">
        <v>4</v>
      </c>
      <c r="F181" s="83" t="s">
        <v>15</v>
      </c>
      <c r="G181" s="83" t="s">
        <v>203</v>
      </c>
      <c r="H181" s="84">
        <v>240</v>
      </c>
      <c r="I181" s="64">
        <f>'Прил 6'!J178</f>
        <v>85171.96</v>
      </c>
      <c r="J181" s="64">
        <f>'Прил 6'!K178</f>
        <v>85171.96</v>
      </c>
      <c r="K181" s="64">
        <f>'Прил 6'!L178</f>
        <v>85171.96</v>
      </c>
    </row>
    <row r="182" spans="1:11" ht="31.2" hidden="1">
      <c r="A182" s="22" t="s">
        <v>204</v>
      </c>
      <c r="B182" s="83" t="s">
        <v>19</v>
      </c>
      <c r="C182" s="83" t="s">
        <v>38</v>
      </c>
      <c r="D182" s="83" t="s">
        <v>13</v>
      </c>
      <c r="E182" s="84">
        <v>4</v>
      </c>
      <c r="F182" s="83" t="s">
        <v>15</v>
      </c>
      <c r="G182" s="83" t="s">
        <v>205</v>
      </c>
      <c r="H182" s="84"/>
      <c r="I182" s="64">
        <f>I183</f>
        <v>0</v>
      </c>
      <c r="J182" s="64">
        <f t="shared" ref="J182:K182" si="76">J183</f>
        <v>0</v>
      </c>
      <c r="K182" s="64">
        <f t="shared" si="76"/>
        <v>0</v>
      </c>
    </row>
    <row r="183" spans="1:11" ht="31.2" hidden="1">
      <c r="A183" s="22" t="s">
        <v>22</v>
      </c>
      <c r="B183" s="83" t="s">
        <v>19</v>
      </c>
      <c r="C183" s="83" t="s">
        <v>38</v>
      </c>
      <c r="D183" s="83" t="s">
        <v>13</v>
      </c>
      <c r="E183" s="84">
        <v>4</v>
      </c>
      <c r="F183" s="83" t="s">
        <v>15</v>
      </c>
      <c r="G183" s="83" t="s">
        <v>205</v>
      </c>
      <c r="H183" s="84">
        <v>240</v>
      </c>
      <c r="I183" s="64"/>
      <c r="J183" s="64"/>
      <c r="K183" s="64"/>
    </row>
    <row r="184" spans="1:11" ht="31.2">
      <c r="A184" s="22" t="s">
        <v>399</v>
      </c>
      <c r="B184" s="83" t="s">
        <v>19</v>
      </c>
      <c r="C184" s="83" t="s">
        <v>38</v>
      </c>
      <c r="D184" s="83" t="s">
        <v>13</v>
      </c>
      <c r="E184" s="84">
        <v>5</v>
      </c>
      <c r="F184" s="83" t="s">
        <v>15</v>
      </c>
      <c r="G184" s="83" t="s">
        <v>16</v>
      </c>
      <c r="H184" s="84"/>
      <c r="I184" s="64">
        <f>I185</f>
        <v>1116480.3900000001</v>
      </c>
      <c r="J184" s="64">
        <f t="shared" ref="J184:K185" si="77">J185</f>
        <v>1116480.3899999999</v>
      </c>
      <c r="K184" s="64">
        <f t="shared" si="77"/>
        <v>293000</v>
      </c>
    </row>
    <row r="185" spans="1:11">
      <c r="A185" s="22" t="s">
        <v>395</v>
      </c>
      <c r="B185" s="83" t="s">
        <v>19</v>
      </c>
      <c r="C185" s="83" t="s">
        <v>38</v>
      </c>
      <c r="D185" s="83" t="s">
        <v>13</v>
      </c>
      <c r="E185" s="84">
        <v>5</v>
      </c>
      <c r="F185" s="83" t="s">
        <v>15</v>
      </c>
      <c r="G185" s="83" t="s">
        <v>394</v>
      </c>
      <c r="H185" s="84"/>
      <c r="I185" s="64">
        <f>I186</f>
        <v>1116480.3900000001</v>
      </c>
      <c r="J185" s="64">
        <f t="shared" si="77"/>
        <v>1116480.3899999999</v>
      </c>
      <c r="K185" s="64">
        <f t="shared" si="77"/>
        <v>293000</v>
      </c>
    </row>
    <row r="186" spans="1:11" ht="31.2">
      <c r="A186" s="22" t="s">
        <v>22</v>
      </c>
      <c r="B186" s="83" t="s">
        <v>19</v>
      </c>
      <c r="C186" s="83" t="s">
        <v>38</v>
      </c>
      <c r="D186" s="83" t="s">
        <v>13</v>
      </c>
      <c r="E186" s="84">
        <v>5</v>
      </c>
      <c r="F186" s="83" t="s">
        <v>15</v>
      </c>
      <c r="G186" s="83" t="s">
        <v>394</v>
      </c>
      <c r="H186" s="84">
        <v>240</v>
      </c>
      <c r="I186" s="64">
        <f>'Прил 6'!J183</f>
        <v>1116480.3900000001</v>
      </c>
      <c r="J186" s="64">
        <f>'Прил 6'!K183</f>
        <v>1116480.3899999999</v>
      </c>
      <c r="K186" s="64">
        <f>'Прил 6'!L183</f>
        <v>293000</v>
      </c>
    </row>
    <row r="187" spans="1:11" ht="31.2">
      <c r="A187" s="22" t="s">
        <v>199</v>
      </c>
      <c r="B187" s="83" t="s">
        <v>19</v>
      </c>
      <c r="C187" s="83" t="s">
        <v>38</v>
      </c>
      <c r="D187" s="83">
        <v>97</v>
      </c>
      <c r="E187" s="84">
        <v>0</v>
      </c>
      <c r="F187" s="83" t="s">
        <v>15</v>
      </c>
      <c r="G187" s="83" t="s">
        <v>16</v>
      </c>
      <c r="H187" s="84"/>
      <c r="I187" s="64">
        <f>I188</f>
        <v>347952.5</v>
      </c>
      <c r="J187" s="64">
        <f t="shared" ref="J187:K189" si="78">J188</f>
        <v>347952.5</v>
      </c>
      <c r="K187" s="64">
        <f t="shared" si="78"/>
        <v>347952.5</v>
      </c>
    </row>
    <row r="188" spans="1:11" ht="46.8">
      <c r="A188" s="22" t="s">
        <v>111</v>
      </c>
      <c r="B188" s="83" t="s">
        <v>19</v>
      </c>
      <c r="C188" s="83" t="s">
        <v>38</v>
      </c>
      <c r="D188" s="83">
        <v>97</v>
      </c>
      <c r="E188" s="84">
        <v>2</v>
      </c>
      <c r="F188" s="83" t="s">
        <v>15</v>
      </c>
      <c r="G188" s="83" t="s">
        <v>16</v>
      </c>
      <c r="H188" s="84"/>
      <c r="I188" s="64">
        <f>I189</f>
        <v>347952.5</v>
      </c>
      <c r="J188" s="64">
        <f t="shared" si="78"/>
        <v>347952.5</v>
      </c>
      <c r="K188" s="64">
        <f t="shared" si="78"/>
        <v>347952.5</v>
      </c>
    </row>
    <row r="189" spans="1:11" ht="93.6">
      <c r="A189" s="22" t="s">
        <v>401</v>
      </c>
      <c r="B189" s="83" t="s">
        <v>19</v>
      </c>
      <c r="C189" s="83" t="s">
        <v>38</v>
      </c>
      <c r="D189" s="83" t="s">
        <v>113</v>
      </c>
      <c r="E189" s="84">
        <v>2</v>
      </c>
      <c r="F189" s="83" t="s">
        <v>15</v>
      </c>
      <c r="G189" s="83" t="s">
        <v>400</v>
      </c>
      <c r="H189" s="84"/>
      <c r="I189" s="64">
        <f>I190</f>
        <v>347952.5</v>
      </c>
      <c r="J189" s="64">
        <f t="shared" si="78"/>
        <v>347952.5</v>
      </c>
      <c r="K189" s="64">
        <f t="shared" si="78"/>
        <v>347952.5</v>
      </c>
    </row>
    <row r="190" spans="1:11">
      <c r="A190" s="27" t="s">
        <v>116</v>
      </c>
      <c r="B190" s="83" t="s">
        <v>19</v>
      </c>
      <c r="C190" s="83" t="s">
        <v>38</v>
      </c>
      <c r="D190" s="83" t="s">
        <v>113</v>
      </c>
      <c r="E190" s="84">
        <v>2</v>
      </c>
      <c r="F190" s="83" t="s">
        <v>15</v>
      </c>
      <c r="G190" s="83" t="s">
        <v>400</v>
      </c>
      <c r="H190" s="84">
        <v>540</v>
      </c>
      <c r="I190" s="64">
        <f>'Прил 6'!J187</f>
        <v>347952.5</v>
      </c>
      <c r="J190" s="64">
        <f>'Прил 6'!K187</f>
        <v>347952.5</v>
      </c>
      <c r="K190" s="64">
        <f>'Прил 6'!L187</f>
        <v>347952.5</v>
      </c>
    </row>
    <row r="191" spans="1:11" ht="31.2" hidden="1">
      <c r="A191" s="22" t="s">
        <v>61</v>
      </c>
      <c r="B191" s="83" t="s">
        <v>19</v>
      </c>
      <c r="C191" s="83" t="s">
        <v>62</v>
      </c>
      <c r="D191" s="83"/>
      <c r="E191" s="84"/>
      <c r="F191" s="83"/>
      <c r="G191" s="83"/>
      <c r="H191" s="84"/>
      <c r="I191" s="64">
        <f>I192</f>
        <v>0</v>
      </c>
      <c r="J191" s="64">
        <f t="shared" ref="J191:K193" si="79">J192</f>
        <v>0</v>
      </c>
      <c r="K191" s="64">
        <f t="shared" si="79"/>
        <v>0</v>
      </c>
    </row>
    <row r="192" spans="1:11" ht="46.8" hidden="1">
      <c r="A192" s="22" t="s">
        <v>206</v>
      </c>
      <c r="B192" s="83" t="s">
        <v>19</v>
      </c>
      <c r="C192" s="83" t="s">
        <v>62</v>
      </c>
      <c r="D192" s="83" t="s">
        <v>45</v>
      </c>
      <c r="E192" s="84">
        <v>0</v>
      </c>
      <c r="F192" s="83" t="s">
        <v>15</v>
      </c>
      <c r="G192" s="83" t="s">
        <v>16</v>
      </c>
      <c r="H192" s="84"/>
      <c r="I192" s="64">
        <f>I193</f>
        <v>0</v>
      </c>
      <c r="J192" s="64">
        <f t="shared" si="79"/>
        <v>0</v>
      </c>
      <c r="K192" s="64">
        <f t="shared" si="79"/>
        <v>0</v>
      </c>
    </row>
    <row r="193" spans="1:11" hidden="1">
      <c r="A193" s="22" t="s">
        <v>207</v>
      </c>
      <c r="B193" s="83" t="s">
        <v>19</v>
      </c>
      <c r="C193" s="83" t="s">
        <v>62</v>
      </c>
      <c r="D193" s="83" t="s">
        <v>45</v>
      </c>
      <c r="E193" s="84">
        <v>0</v>
      </c>
      <c r="F193" s="83" t="s">
        <v>15</v>
      </c>
      <c r="G193" s="83" t="s">
        <v>208</v>
      </c>
      <c r="H193" s="84"/>
      <c r="I193" s="64">
        <f>I194</f>
        <v>0</v>
      </c>
      <c r="J193" s="64">
        <f t="shared" si="79"/>
        <v>0</v>
      </c>
      <c r="K193" s="64">
        <f t="shared" si="79"/>
        <v>0</v>
      </c>
    </row>
    <row r="194" spans="1:11" ht="31.2" hidden="1">
      <c r="A194" s="22" t="s">
        <v>22</v>
      </c>
      <c r="B194" s="83" t="s">
        <v>19</v>
      </c>
      <c r="C194" s="83" t="s">
        <v>62</v>
      </c>
      <c r="D194" s="83" t="s">
        <v>45</v>
      </c>
      <c r="E194" s="84">
        <v>0</v>
      </c>
      <c r="F194" s="83" t="s">
        <v>15</v>
      </c>
      <c r="G194" s="83" t="s">
        <v>208</v>
      </c>
      <c r="H194" s="84">
        <v>240</v>
      </c>
      <c r="I194" s="64"/>
      <c r="J194" s="64"/>
      <c r="K194" s="64"/>
    </row>
    <row r="195" spans="1:11">
      <c r="A195" s="29" t="s">
        <v>63</v>
      </c>
      <c r="B195" s="83" t="s">
        <v>31</v>
      </c>
      <c r="C195" s="84" t="s">
        <v>1</v>
      </c>
      <c r="D195" s="83"/>
      <c r="E195" s="84"/>
      <c r="F195" s="83"/>
      <c r="G195" s="83"/>
      <c r="H195" s="84"/>
      <c r="I195" s="64">
        <f>I196+I216+I221</f>
        <v>51507474.470000014</v>
      </c>
      <c r="J195" s="64">
        <f t="shared" ref="J195:K195" si="80">J196+J216+J221</f>
        <v>51526131.469999999</v>
      </c>
      <c r="K195" s="64">
        <f t="shared" si="80"/>
        <v>13771001.760000002</v>
      </c>
    </row>
    <row r="196" spans="1:11">
      <c r="A196" s="21" t="s">
        <v>66</v>
      </c>
      <c r="B196" s="83" t="s">
        <v>31</v>
      </c>
      <c r="C196" s="83" t="s">
        <v>50</v>
      </c>
      <c r="D196" s="83"/>
      <c r="E196" s="84"/>
      <c r="F196" s="83"/>
      <c r="G196" s="83"/>
      <c r="H196" s="84"/>
      <c r="I196" s="64">
        <f>I197</f>
        <v>51402936.470000014</v>
      </c>
      <c r="J196" s="64">
        <f t="shared" ref="J196:K197" si="81">J197</f>
        <v>51402936.469999999</v>
      </c>
      <c r="K196" s="64">
        <f t="shared" si="81"/>
        <v>13666463.760000002</v>
      </c>
    </row>
    <row r="197" spans="1:11" ht="46.8">
      <c r="A197" s="21" t="s">
        <v>209</v>
      </c>
      <c r="B197" s="83" t="s">
        <v>31</v>
      </c>
      <c r="C197" s="83" t="s">
        <v>50</v>
      </c>
      <c r="D197" s="83" t="s">
        <v>19</v>
      </c>
      <c r="E197" s="84">
        <v>0</v>
      </c>
      <c r="F197" s="83" t="s">
        <v>15</v>
      </c>
      <c r="G197" s="83" t="s">
        <v>16</v>
      </c>
      <c r="H197" s="84"/>
      <c r="I197" s="64">
        <f>I198</f>
        <v>51402936.470000014</v>
      </c>
      <c r="J197" s="64">
        <f t="shared" si="81"/>
        <v>51402936.469999999</v>
      </c>
      <c r="K197" s="64">
        <f t="shared" si="81"/>
        <v>13666463.760000002</v>
      </c>
    </row>
    <row r="198" spans="1:11" ht="46.8">
      <c r="A198" s="22" t="s">
        <v>210</v>
      </c>
      <c r="B198" s="83" t="s">
        <v>31</v>
      </c>
      <c r="C198" s="83" t="s">
        <v>50</v>
      </c>
      <c r="D198" s="83" t="s">
        <v>19</v>
      </c>
      <c r="E198" s="84">
        <v>1</v>
      </c>
      <c r="F198" s="83" t="s">
        <v>15</v>
      </c>
      <c r="G198" s="83" t="s">
        <v>16</v>
      </c>
      <c r="H198" s="84"/>
      <c r="I198" s="64">
        <f>I199+I202+I204+I206+I208+I212+I214+I210</f>
        <v>51402936.470000014</v>
      </c>
      <c r="J198" s="64">
        <f t="shared" ref="J198:K198" si="82">J199+J202+J204+J206+J208+J212+J214+J210</f>
        <v>51402936.469999999</v>
      </c>
      <c r="K198" s="64">
        <f t="shared" si="82"/>
        <v>13666463.760000002</v>
      </c>
    </row>
    <row r="199" spans="1:11">
      <c r="A199" s="22" t="s">
        <v>211</v>
      </c>
      <c r="B199" s="83" t="s">
        <v>31</v>
      </c>
      <c r="C199" s="83" t="s">
        <v>50</v>
      </c>
      <c r="D199" s="83" t="s">
        <v>19</v>
      </c>
      <c r="E199" s="84">
        <v>1</v>
      </c>
      <c r="F199" s="83" t="s">
        <v>15</v>
      </c>
      <c r="G199" s="83" t="s">
        <v>212</v>
      </c>
      <c r="H199" s="84"/>
      <c r="I199" s="64">
        <f>SUM(I200:I201)</f>
        <v>40463705.500000007</v>
      </c>
      <c r="J199" s="64">
        <f t="shared" ref="J199:K199" si="83">SUM(J200:J201)</f>
        <v>40313705.5</v>
      </c>
      <c r="K199" s="64">
        <f t="shared" si="83"/>
        <v>4483305.0500000007</v>
      </c>
    </row>
    <row r="200" spans="1:11" ht="31.2">
      <c r="A200" s="22" t="s">
        <v>22</v>
      </c>
      <c r="B200" s="83" t="s">
        <v>31</v>
      </c>
      <c r="C200" s="83" t="s">
        <v>50</v>
      </c>
      <c r="D200" s="83" t="s">
        <v>19</v>
      </c>
      <c r="E200" s="84">
        <v>1</v>
      </c>
      <c r="F200" s="83" t="s">
        <v>15</v>
      </c>
      <c r="G200" s="83" t="s">
        <v>212</v>
      </c>
      <c r="H200" s="84">
        <v>240</v>
      </c>
      <c r="I200" s="64">
        <f>'Прил 6'!J197</f>
        <v>2698181.9300000006</v>
      </c>
      <c r="J200" s="64">
        <f>'Прил 6'!K197</f>
        <v>2698181.93</v>
      </c>
      <c r="K200" s="64">
        <f>'Прил 6'!L197</f>
        <v>2302182.39</v>
      </c>
    </row>
    <row r="201" spans="1:11">
      <c r="A201" s="22" t="s">
        <v>49</v>
      </c>
      <c r="B201" s="83" t="s">
        <v>31</v>
      </c>
      <c r="C201" s="83" t="s">
        <v>50</v>
      </c>
      <c r="D201" s="83" t="s">
        <v>19</v>
      </c>
      <c r="E201" s="84">
        <v>1</v>
      </c>
      <c r="F201" s="83" t="s">
        <v>15</v>
      </c>
      <c r="G201" s="83" t="s">
        <v>212</v>
      </c>
      <c r="H201" s="84">
        <v>410</v>
      </c>
      <c r="I201" s="64">
        <f>'Прил 6'!J198</f>
        <v>37765523.570000008</v>
      </c>
      <c r="J201" s="64">
        <f>'Прил 6'!K198</f>
        <v>37615523.57</v>
      </c>
      <c r="K201" s="64">
        <f>'Прил 6'!L198</f>
        <v>2181122.66</v>
      </c>
    </row>
    <row r="202" spans="1:11" hidden="1">
      <c r="A202" s="22" t="s">
        <v>213</v>
      </c>
      <c r="B202" s="83" t="s">
        <v>31</v>
      </c>
      <c r="C202" s="83" t="s">
        <v>50</v>
      </c>
      <c r="D202" s="83" t="s">
        <v>19</v>
      </c>
      <c r="E202" s="84">
        <v>1</v>
      </c>
      <c r="F202" s="83" t="s">
        <v>15</v>
      </c>
      <c r="G202" s="83" t="s">
        <v>214</v>
      </c>
      <c r="H202" s="84"/>
      <c r="I202" s="64">
        <f>I203</f>
        <v>0</v>
      </c>
      <c r="J202" s="64">
        <f t="shared" ref="J202:K202" si="84">J203</f>
        <v>0</v>
      </c>
      <c r="K202" s="64">
        <f t="shared" si="84"/>
        <v>0</v>
      </c>
    </row>
    <row r="203" spans="1:11" ht="31.2" hidden="1">
      <c r="A203" s="22" t="s">
        <v>22</v>
      </c>
      <c r="B203" s="83" t="s">
        <v>31</v>
      </c>
      <c r="C203" s="83" t="s">
        <v>50</v>
      </c>
      <c r="D203" s="83" t="s">
        <v>19</v>
      </c>
      <c r="E203" s="84">
        <v>1</v>
      </c>
      <c r="F203" s="83" t="s">
        <v>15</v>
      </c>
      <c r="G203" s="83" t="s">
        <v>214</v>
      </c>
      <c r="H203" s="84">
        <v>240</v>
      </c>
      <c r="I203" s="64"/>
      <c r="J203" s="64"/>
      <c r="K203" s="64"/>
    </row>
    <row r="204" spans="1:11" hidden="1">
      <c r="A204" s="22" t="s">
        <v>215</v>
      </c>
      <c r="B204" s="83" t="s">
        <v>31</v>
      </c>
      <c r="C204" s="83" t="s">
        <v>50</v>
      </c>
      <c r="D204" s="83" t="s">
        <v>19</v>
      </c>
      <c r="E204" s="84">
        <v>1</v>
      </c>
      <c r="F204" s="83" t="s">
        <v>15</v>
      </c>
      <c r="G204" s="83" t="s">
        <v>216</v>
      </c>
      <c r="H204" s="84"/>
      <c r="I204" s="64">
        <f>I205</f>
        <v>0</v>
      </c>
      <c r="J204" s="64">
        <f t="shared" ref="J204:K204" si="85">J205</f>
        <v>0</v>
      </c>
      <c r="K204" s="64">
        <f t="shared" si="85"/>
        <v>0</v>
      </c>
    </row>
    <row r="205" spans="1:11" hidden="1">
      <c r="A205" s="22" t="s">
        <v>49</v>
      </c>
      <c r="B205" s="83" t="s">
        <v>31</v>
      </c>
      <c r="C205" s="83" t="s">
        <v>50</v>
      </c>
      <c r="D205" s="83" t="s">
        <v>19</v>
      </c>
      <c r="E205" s="84">
        <v>1</v>
      </c>
      <c r="F205" s="83" t="s">
        <v>15</v>
      </c>
      <c r="G205" s="83" t="s">
        <v>216</v>
      </c>
      <c r="H205" s="84">
        <v>410</v>
      </c>
      <c r="I205" s="64">
        <f>'Прил 6'!J202</f>
        <v>0</v>
      </c>
      <c r="J205" s="64">
        <f>'Прил 6'!K202</f>
        <v>0</v>
      </c>
      <c r="K205" s="64">
        <f>'Прил 6'!L202</f>
        <v>0</v>
      </c>
    </row>
    <row r="206" spans="1:11" ht="31.2">
      <c r="A206" s="22" t="s">
        <v>217</v>
      </c>
      <c r="B206" s="83" t="s">
        <v>31</v>
      </c>
      <c r="C206" s="83" t="s">
        <v>50</v>
      </c>
      <c r="D206" s="83" t="s">
        <v>19</v>
      </c>
      <c r="E206" s="84">
        <v>1</v>
      </c>
      <c r="F206" s="83" t="s">
        <v>15</v>
      </c>
      <c r="G206" s="83" t="s">
        <v>218</v>
      </c>
      <c r="H206" s="84"/>
      <c r="I206" s="64">
        <f>I207</f>
        <v>24850</v>
      </c>
      <c r="J206" s="64">
        <f t="shared" ref="J206:K206" si="86">J207</f>
        <v>24850</v>
      </c>
      <c r="K206" s="64">
        <f t="shared" si="86"/>
        <v>24850</v>
      </c>
    </row>
    <row r="207" spans="1:11" ht="31.2">
      <c r="A207" s="22" t="s">
        <v>22</v>
      </c>
      <c r="B207" s="83" t="s">
        <v>31</v>
      </c>
      <c r="C207" s="83" t="s">
        <v>50</v>
      </c>
      <c r="D207" s="83" t="s">
        <v>19</v>
      </c>
      <c r="E207" s="84">
        <v>1</v>
      </c>
      <c r="F207" s="83" t="s">
        <v>15</v>
      </c>
      <c r="G207" s="83" t="s">
        <v>218</v>
      </c>
      <c r="H207" s="84">
        <v>240</v>
      </c>
      <c r="I207" s="64">
        <f>'Прил 6'!J204</f>
        <v>24850</v>
      </c>
      <c r="J207" s="64">
        <f>'Прил 6'!K204</f>
        <v>24850</v>
      </c>
      <c r="K207" s="64">
        <f>'Прил 6'!L204</f>
        <v>24850</v>
      </c>
    </row>
    <row r="208" spans="1:11">
      <c r="A208" s="22" t="s">
        <v>413</v>
      </c>
      <c r="B208" s="83" t="s">
        <v>31</v>
      </c>
      <c r="C208" s="83" t="s">
        <v>50</v>
      </c>
      <c r="D208" s="83" t="s">
        <v>19</v>
      </c>
      <c r="E208" s="84">
        <v>1</v>
      </c>
      <c r="F208" s="83" t="s">
        <v>15</v>
      </c>
      <c r="G208" s="83" t="s">
        <v>412</v>
      </c>
      <c r="H208" s="84"/>
      <c r="I208" s="64">
        <f>I209</f>
        <v>1082028.0699999998</v>
      </c>
      <c r="J208" s="64">
        <f t="shared" ref="J208:K208" si="87">J209</f>
        <v>1082028.07</v>
      </c>
      <c r="K208" s="64">
        <f t="shared" si="87"/>
        <v>703308.24</v>
      </c>
    </row>
    <row r="209" spans="1:11">
      <c r="A209" s="22" t="s">
        <v>49</v>
      </c>
      <c r="B209" s="83" t="s">
        <v>31</v>
      </c>
      <c r="C209" s="83" t="s">
        <v>50</v>
      </c>
      <c r="D209" s="83" t="s">
        <v>19</v>
      </c>
      <c r="E209" s="84">
        <v>1</v>
      </c>
      <c r="F209" s="83" t="s">
        <v>15</v>
      </c>
      <c r="G209" s="83" t="s">
        <v>412</v>
      </c>
      <c r="H209" s="84">
        <v>410</v>
      </c>
      <c r="I209" s="64">
        <f>'Прил 6'!J206</f>
        <v>1082028.0699999998</v>
      </c>
      <c r="J209" s="64">
        <f>'Прил 6'!K206</f>
        <v>1082028.07</v>
      </c>
      <c r="K209" s="64">
        <f>'Прил 6'!L206</f>
        <v>703308.24</v>
      </c>
    </row>
    <row r="210" spans="1:11">
      <c r="A210" s="22" t="s">
        <v>219</v>
      </c>
      <c r="B210" s="83" t="s">
        <v>31</v>
      </c>
      <c r="C210" s="83" t="s">
        <v>50</v>
      </c>
      <c r="D210" s="83" t="s">
        <v>19</v>
      </c>
      <c r="E210" s="84">
        <v>1</v>
      </c>
      <c r="F210" s="83" t="s">
        <v>15</v>
      </c>
      <c r="G210" s="83" t="s">
        <v>220</v>
      </c>
      <c r="H210" s="84"/>
      <c r="I210" s="64">
        <f>I211</f>
        <v>6994087.9800000004</v>
      </c>
      <c r="J210" s="64">
        <f t="shared" ref="J210:K210" si="88">J211</f>
        <v>7144087.9800000004</v>
      </c>
      <c r="K210" s="64">
        <f t="shared" si="88"/>
        <v>6178451.1299999999</v>
      </c>
    </row>
    <row r="211" spans="1:11" ht="31.2">
      <c r="A211" s="22" t="s">
        <v>22</v>
      </c>
      <c r="B211" s="83" t="s">
        <v>31</v>
      </c>
      <c r="C211" s="83" t="s">
        <v>50</v>
      </c>
      <c r="D211" s="83" t="s">
        <v>19</v>
      </c>
      <c r="E211" s="84">
        <v>1</v>
      </c>
      <c r="F211" s="83" t="s">
        <v>15</v>
      </c>
      <c r="G211" s="83" t="s">
        <v>220</v>
      </c>
      <c r="H211" s="84">
        <v>240</v>
      </c>
      <c r="I211" s="64">
        <f>'Прил 6'!J208</f>
        <v>6994087.9800000004</v>
      </c>
      <c r="J211" s="64">
        <f>'Прил 6'!K208</f>
        <v>7144087.9800000004</v>
      </c>
      <c r="K211" s="64">
        <f>'Прил 6'!L208</f>
        <v>6178451.1299999999</v>
      </c>
    </row>
    <row r="212" spans="1:11" hidden="1">
      <c r="A212" s="22" t="s">
        <v>221</v>
      </c>
      <c r="B212" s="83" t="s">
        <v>31</v>
      </c>
      <c r="C212" s="83" t="s">
        <v>50</v>
      </c>
      <c r="D212" s="83" t="s">
        <v>19</v>
      </c>
      <c r="E212" s="84">
        <v>1</v>
      </c>
      <c r="F212" s="83" t="s">
        <v>15</v>
      </c>
      <c r="G212" s="83" t="s">
        <v>222</v>
      </c>
      <c r="H212" s="84"/>
      <c r="I212" s="64">
        <f>I213</f>
        <v>0</v>
      </c>
      <c r="J212" s="64">
        <f t="shared" ref="J212:K212" si="89">J213</f>
        <v>0</v>
      </c>
      <c r="K212" s="64">
        <f t="shared" si="89"/>
        <v>0</v>
      </c>
    </row>
    <row r="213" spans="1:11" hidden="1">
      <c r="A213" s="22" t="s">
        <v>49</v>
      </c>
      <c r="B213" s="83" t="s">
        <v>31</v>
      </c>
      <c r="C213" s="83" t="s">
        <v>50</v>
      </c>
      <c r="D213" s="83" t="s">
        <v>19</v>
      </c>
      <c r="E213" s="84">
        <v>1</v>
      </c>
      <c r="F213" s="83" t="s">
        <v>15</v>
      </c>
      <c r="G213" s="83" t="s">
        <v>222</v>
      </c>
      <c r="H213" s="84">
        <v>410</v>
      </c>
      <c r="I213" s="64"/>
      <c r="J213" s="64"/>
      <c r="K213" s="64"/>
    </row>
    <row r="214" spans="1:11">
      <c r="A214" s="22" t="s">
        <v>223</v>
      </c>
      <c r="B214" s="83" t="s">
        <v>31</v>
      </c>
      <c r="C214" s="83" t="s">
        <v>50</v>
      </c>
      <c r="D214" s="83" t="s">
        <v>19</v>
      </c>
      <c r="E214" s="84">
        <v>1</v>
      </c>
      <c r="F214" s="83" t="s">
        <v>15</v>
      </c>
      <c r="G214" s="83" t="s">
        <v>224</v>
      </c>
      <c r="H214" s="84"/>
      <c r="I214" s="64">
        <f>I215</f>
        <v>2838264.92</v>
      </c>
      <c r="J214" s="64">
        <f t="shared" ref="J214:K214" si="90">J215</f>
        <v>2838264.92</v>
      </c>
      <c r="K214" s="64">
        <f t="shared" si="90"/>
        <v>2276549.34</v>
      </c>
    </row>
    <row r="215" spans="1:11" ht="31.2">
      <c r="A215" s="22" t="s">
        <v>22</v>
      </c>
      <c r="B215" s="83" t="s">
        <v>31</v>
      </c>
      <c r="C215" s="83" t="s">
        <v>50</v>
      </c>
      <c r="D215" s="83" t="s">
        <v>19</v>
      </c>
      <c r="E215" s="84">
        <v>1</v>
      </c>
      <c r="F215" s="83" t="s">
        <v>15</v>
      </c>
      <c r="G215" s="83" t="s">
        <v>224</v>
      </c>
      <c r="H215" s="84">
        <v>240</v>
      </c>
      <c r="I215" s="64">
        <f>'Прил 6'!J212</f>
        <v>2838264.92</v>
      </c>
      <c r="J215" s="64">
        <f>'Прил 6'!K212</f>
        <v>2838264.92</v>
      </c>
      <c r="K215" s="64">
        <f>'Прил 6'!L212</f>
        <v>2276549.34</v>
      </c>
    </row>
    <row r="216" spans="1:11">
      <c r="A216" s="22" t="s">
        <v>67</v>
      </c>
      <c r="B216" s="83" t="s">
        <v>31</v>
      </c>
      <c r="C216" s="83" t="s">
        <v>38</v>
      </c>
      <c r="D216" s="83"/>
      <c r="E216" s="83"/>
      <c r="F216" s="83"/>
      <c r="G216" s="83"/>
      <c r="H216" s="84" t="s">
        <v>94</v>
      </c>
      <c r="I216" s="64">
        <f>I217</f>
        <v>74538</v>
      </c>
      <c r="J216" s="64">
        <f t="shared" ref="J216:K219" si="91">J217</f>
        <v>93195</v>
      </c>
      <c r="K216" s="64">
        <f t="shared" si="91"/>
        <v>74538</v>
      </c>
    </row>
    <row r="217" spans="1:11">
      <c r="A217" s="22" t="s">
        <v>27</v>
      </c>
      <c r="B217" s="83" t="s">
        <v>31</v>
      </c>
      <c r="C217" s="83" t="s">
        <v>38</v>
      </c>
      <c r="D217" s="83" t="s">
        <v>28</v>
      </c>
      <c r="E217" s="84">
        <v>0</v>
      </c>
      <c r="F217" s="83" t="s">
        <v>15</v>
      </c>
      <c r="G217" s="83" t="s">
        <v>16</v>
      </c>
      <c r="H217" s="84"/>
      <c r="I217" s="64">
        <f>I218</f>
        <v>74538</v>
      </c>
      <c r="J217" s="64">
        <f t="shared" si="91"/>
        <v>93195</v>
      </c>
      <c r="K217" s="64">
        <f t="shared" si="91"/>
        <v>74538</v>
      </c>
    </row>
    <row r="218" spans="1:11">
      <c r="A218" s="22" t="s">
        <v>174</v>
      </c>
      <c r="B218" s="83" t="s">
        <v>31</v>
      </c>
      <c r="C218" s="83" t="s">
        <v>38</v>
      </c>
      <c r="D218" s="83" t="s">
        <v>28</v>
      </c>
      <c r="E218" s="84">
        <v>9</v>
      </c>
      <c r="F218" s="83" t="s">
        <v>15</v>
      </c>
      <c r="G218" s="83" t="s">
        <v>16</v>
      </c>
      <c r="H218" s="84"/>
      <c r="I218" s="64">
        <f>I219</f>
        <v>74538</v>
      </c>
      <c r="J218" s="64">
        <f t="shared" si="91"/>
        <v>93195</v>
      </c>
      <c r="K218" s="64">
        <f t="shared" si="91"/>
        <v>74538</v>
      </c>
    </row>
    <row r="219" spans="1:11" ht="31.2">
      <c r="A219" s="22" t="s">
        <v>225</v>
      </c>
      <c r="B219" s="83" t="s">
        <v>31</v>
      </c>
      <c r="C219" s="83" t="s">
        <v>38</v>
      </c>
      <c r="D219" s="83" t="s">
        <v>28</v>
      </c>
      <c r="E219" s="84">
        <v>9</v>
      </c>
      <c r="F219" s="83" t="s">
        <v>15</v>
      </c>
      <c r="G219" s="83" t="s">
        <v>68</v>
      </c>
      <c r="H219" s="84"/>
      <c r="I219" s="64">
        <f>I220</f>
        <v>74538</v>
      </c>
      <c r="J219" s="64">
        <f t="shared" si="91"/>
        <v>93195</v>
      </c>
      <c r="K219" s="64">
        <f t="shared" si="91"/>
        <v>74538</v>
      </c>
    </row>
    <row r="220" spans="1:11" ht="31.2">
      <c r="A220" s="22" t="s">
        <v>22</v>
      </c>
      <c r="B220" s="83" t="s">
        <v>31</v>
      </c>
      <c r="C220" s="83" t="s">
        <v>38</v>
      </c>
      <c r="D220" s="83" t="s">
        <v>28</v>
      </c>
      <c r="E220" s="84">
        <v>9</v>
      </c>
      <c r="F220" s="83" t="s">
        <v>15</v>
      </c>
      <c r="G220" s="83" t="s">
        <v>68</v>
      </c>
      <c r="H220" s="84">
        <v>240</v>
      </c>
      <c r="I220" s="64">
        <f>'Прил 6'!J217</f>
        <v>74538</v>
      </c>
      <c r="J220" s="64">
        <f>'Прил 6'!K217</f>
        <v>93195</v>
      </c>
      <c r="K220" s="64">
        <f>'Прил 6'!L217</f>
        <v>74538</v>
      </c>
    </row>
    <row r="221" spans="1:11">
      <c r="A221" s="21" t="s">
        <v>69</v>
      </c>
      <c r="B221" s="83" t="s">
        <v>31</v>
      </c>
      <c r="C221" s="83" t="s">
        <v>45</v>
      </c>
      <c r="D221" s="83"/>
      <c r="E221" s="83"/>
      <c r="F221" s="83"/>
      <c r="G221" s="83"/>
      <c r="H221" s="84" t="s">
        <v>94</v>
      </c>
      <c r="I221" s="63">
        <f>I222</f>
        <v>30000</v>
      </c>
      <c r="J221" s="63">
        <f t="shared" ref="J221:K221" si="92">J222</f>
        <v>30000</v>
      </c>
      <c r="K221" s="63">
        <f t="shared" si="92"/>
        <v>30000</v>
      </c>
    </row>
    <row r="222" spans="1:11" ht="46.8">
      <c r="A222" s="22" t="s">
        <v>226</v>
      </c>
      <c r="B222" s="83" t="s">
        <v>31</v>
      </c>
      <c r="C222" s="83" t="s">
        <v>45</v>
      </c>
      <c r="D222" s="83" t="s">
        <v>31</v>
      </c>
      <c r="E222" s="84">
        <v>0</v>
      </c>
      <c r="F222" s="83" t="s">
        <v>15</v>
      </c>
      <c r="G222" s="83" t="s">
        <v>16</v>
      </c>
      <c r="H222" s="84"/>
      <c r="I222" s="64">
        <f>I223+I225</f>
        <v>30000</v>
      </c>
      <c r="J222" s="64">
        <f t="shared" ref="J222:K222" si="93">J223+J225</f>
        <v>30000</v>
      </c>
      <c r="K222" s="64">
        <f t="shared" si="93"/>
        <v>30000</v>
      </c>
    </row>
    <row r="223" spans="1:11" ht="78" hidden="1">
      <c r="A223" s="22" t="s">
        <v>227</v>
      </c>
      <c r="B223" s="83" t="s">
        <v>31</v>
      </c>
      <c r="C223" s="83" t="s">
        <v>45</v>
      </c>
      <c r="D223" s="83" t="s">
        <v>31</v>
      </c>
      <c r="E223" s="84">
        <v>0</v>
      </c>
      <c r="F223" s="83" t="s">
        <v>15</v>
      </c>
      <c r="G223" s="83" t="s">
        <v>228</v>
      </c>
      <c r="H223" s="84"/>
      <c r="I223" s="64">
        <f>I224</f>
        <v>0</v>
      </c>
      <c r="J223" s="64">
        <f t="shared" ref="J223:K223" si="94">J224</f>
        <v>0</v>
      </c>
      <c r="K223" s="64">
        <f t="shared" si="94"/>
        <v>0</v>
      </c>
    </row>
    <row r="224" spans="1:11" ht="31.2" hidden="1">
      <c r="A224" s="22" t="s">
        <v>229</v>
      </c>
      <c r="B224" s="83" t="s">
        <v>31</v>
      </c>
      <c r="C224" s="83" t="s">
        <v>45</v>
      </c>
      <c r="D224" s="83" t="s">
        <v>31</v>
      </c>
      <c r="E224" s="84">
        <v>0</v>
      </c>
      <c r="F224" s="83" t="s">
        <v>15</v>
      </c>
      <c r="G224" s="83" t="s">
        <v>228</v>
      </c>
      <c r="H224" s="84">
        <v>810</v>
      </c>
      <c r="I224" s="64"/>
      <c r="J224" s="64"/>
      <c r="K224" s="64"/>
    </row>
    <row r="225" spans="1:11">
      <c r="A225" s="22" t="s">
        <v>230</v>
      </c>
      <c r="B225" s="83" t="s">
        <v>31</v>
      </c>
      <c r="C225" s="83" t="s">
        <v>45</v>
      </c>
      <c r="D225" s="83" t="s">
        <v>31</v>
      </c>
      <c r="E225" s="84">
        <v>0</v>
      </c>
      <c r="F225" s="83" t="s">
        <v>15</v>
      </c>
      <c r="G225" s="83" t="s">
        <v>231</v>
      </c>
      <c r="H225" s="84"/>
      <c r="I225" s="64">
        <f>I226</f>
        <v>30000</v>
      </c>
      <c r="J225" s="64">
        <f t="shared" ref="J225:K225" si="95">J226</f>
        <v>30000</v>
      </c>
      <c r="K225" s="64">
        <f t="shared" si="95"/>
        <v>30000</v>
      </c>
    </row>
    <row r="226" spans="1:11" ht="31.2">
      <c r="A226" s="22" t="s">
        <v>229</v>
      </c>
      <c r="B226" s="83" t="s">
        <v>31</v>
      </c>
      <c r="C226" s="83" t="s">
        <v>45</v>
      </c>
      <c r="D226" s="83" t="s">
        <v>31</v>
      </c>
      <c r="E226" s="84">
        <v>0</v>
      </c>
      <c r="F226" s="83" t="s">
        <v>15</v>
      </c>
      <c r="G226" s="83" t="s">
        <v>231</v>
      </c>
      <c r="H226" s="84">
        <v>810</v>
      </c>
      <c r="I226" s="64">
        <f>'Прил 6'!J223</f>
        <v>30000</v>
      </c>
      <c r="J226" s="64">
        <f>'Прил 6'!K223</f>
        <v>30000</v>
      </c>
      <c r="K226" s="64">
        <f>'Прил 6'!L223</f>
        <v>30000</v>
      </c>
    </row>
    <row r="227" spans="1:11">
      <c r="A227" s="29" t="s">
        <v>621</v>
      </c>
      <c r="B227" s="83" t="s">
        <v>32</v>
      </c>
      <c r="C227" s="84" t="s">
        <v>1</v>
      </c>
      <c r="D227" s="83"/>
      <c r="E227" s="84"/>
      <c r="F227" s="83"/>
      <c r="G227" s="83"/>
      <c r="H227" s="84"/>
      <c r="I227" s="64">
        <f>I228+I245+I255+I306</f>
        <v>65799341.579999998</v>
      </c>
      <c r="J227" s="64">
        <f t="shared" ref="J227:K227" si="96">J228+J245+J255+J306</f>
        <v>65799341.580000006</v>
      </c>
      <c r="K227" s="64">
        <f t="shared" si="96"/>
        <v>61410084.140000001</v>
      </c>
    </row>
    <row r="228" spans="1:11">
      <c r="A228" s="21" t="s">
        <v>70</v>
      </c>
      <c r="B228" s="83" t="s">
        <v>32</v>
      </c>
      <c r="C228" s="84" t="s">
        <v>12</v>
      </c>
      <c r="D228" s="83" t="s">
        <v>15</v>
      </c>
      <c r="E228" s="84">
        <v>0</v>
      </c>
      <c r="F228" s="83" t="s">
        <v>15</v>
      </c>
      <c r="G228" s="83" t="s">
        <v>16</v>
      </c>
      <c r="H228" s="84"/>
      <c r="I228" s="64">
        <f>I229+I241</f>
        <v>12249695.640000001</v>
      </c>
      <c r="J228" s="64">
        <f t="shared" ref="J228:K228" si="97">J229+J241</f>
        <v>12249695.640000001</v>
      </c>
      <c r="K228" s="64">
        <f t="shared" si="97"/>
        <v>12223156.42</v>
      </c>
    </row>
    <row r="229" spans="1:11" ht="46.8">
      <c r="A229" s="22" t="s">
        <v>232</v>
      </c>
      <c r="B229" s="83" t="s">
        <v>32</v>
      </c>
      <c r="C229" s="83" t="s">
        <v>12</v>
      </c>
      <c r="D229" s="83" t="s">
        <v>32</v>
      </c>
      <c r="E229" s="84">
        <v>0</v>
      </c>
      <c r="F229" s="83" t="s">
        <v>15</v>
      </c>
      <c r="G229" s="83" t="s">
        <v>16</v>
      </c>
      <c r="H229" s="84"/>
      <c r="I229" s="64">
        <f>I230+I233+I238</f>
        <v>11380000</v>
      </c>
      <c r="J229" s="64">
        <f t="shared" ref="J229:K229" si="98">J230+J233+J238</f>
        <v>11380000</v>
      </c>
      <c r="K229" s="64">
        <f t="shared" si="98"/>
        <v>11353460.779999999</v>
      </c>
    </row>
    <row r="230" spans="1:11">
      <c r="A230" s="22" t="s">
        <v>233</v>
      </c>
      <c r="B230" s="83" t="s">
        <v>32</v>
      </c>
      <c r="C230" s="83" t="s">
        <v>12</v>
      </c>
      <c r="D230" s="83" t="s">
        <v>32</v>
      </c>
      <c r="E230" s="84">
        <v>1</v>
      </c>
      <c r="F230" s="83" t="s">
        <v>15</v>
      </c>
      <c r="G230" s="83" t="s">
        <v>16</v>
      </c>
      <c r="H230" s="84"/>
      <c r="I230" s="64">
        <f>I231</f>
        <v>30000</v>
      </c>
      <c r="J230" s="64">
        <f t="shared" ref="J230:K231" si="99">J231</f>
        <v>30000</v>
      </c>
      <c r="K230" s="64">
        <f t="shared" si="99"/>
        <v>22460.78</v>
      </c>
    </row>
    <row r="231" spans="1:11">
      <c r="A231" s="22" t="s">
        <v>234</v>
      </c>
      <c r="B231" s="83" t="s">
        <v>32</v>
      </c>
      <c r="C231" s="83" t="s">
        <v>12</v>
      </c>
      <c r="D231" s="83" t="s">
        <v>32</v>
      </c>
      <c r="E231" s="84">
        <v>1</v>
      </c>
      <c r="F231" s="83" t="s">
        <v>15</v>
      </c>
      <c r="G231" s="83" t="s">
        <v>235</v>
      </c>
      <c r="H231" s="84"/>
      <c r="I231" s="64">
        <f>I232</f>
        <v>30000</v>
      </c>
      <c r="J231" s="64">
        <f t="shared" si="99"/>
        <v>30000</v>
      </c>
      <c r="K231" s="64">
        <f t="shared" si="99"/>
        <v>22460.78</v>
      </c>
    </row>
    <row r="232" spans="1:11" ht="31.2">
      <c r="A232" s="22" t="s">
        <v>22</v>
      </c>
      <c r="B232" s="83" t="s">
        <v>32</v>
      </c>
      <c r="C232" s="83" t="s">
        <v>12</v>
      </c>
      <c r="D232" s="83" t="s">
        <v>32</v>
      </c>
      <c r="E232" s="84">
        <v>1</v>
      </c>
      <c r="F232" s="83" t="s">
        <v>15</v>
      </c>
      <c r="G232" s="83" t="s">
        <v>235</v>
      </c>
      <c r="H232" s="84">
        <v>240</v>
      </c>
      <c r="I232" s="64">
        <f>'Прил 6'!J229</f>
        <v>30000</v>
      </c>
      <c r="J232" s="64">
        <f>'Прил 6'!K229</f>
        <v>30000</v>
      </c>
      <c r="K232" s="64">
        <f>'Прил 6'!L229</f>
        <v>22460.78</v>
      </c>
    </row>
    <row r="233" spans="1:11" hidden="1">
      <c r="A233" s="22" t="s">
        <v>236</v>
      </c>
      <c r="B233" s="83" t="s">
        <v>32</v>
      </c>
      <c r="C233" s="83" t="s">
        <v>12</v>
      </c>
      <c r="D233" s="83" t="s">
        <v>32</v>
      </c>
      <c r="E233" s="84">
        <v>5</v>
      </c>
      <c r="F233" s="83" t="s">
        <v>15</v>
      </c>
      <c r="G233" s="83" t="s">
        <v>16</v>
      </c>
      <c r="H233" s="84"/>
      <c r="I233" s="64">
        <f>I234+I236</f>
        <v>0</v>
      </c>
      <c r="J233" s="64">
        <f t="shared" ref="J233:K233" si="100">J234+J236</f>
        <v>0</v>
      </c>
      <c r="K233" s="64">
        <f t="shared" si="100"/>
        <v>0</v>
      </c>
    </row>
    <row r="234" spans="1:11" hidden="1">
      <c r="A234" s="22" t="s">
        <v>237</v>
      </c>
      <c r="B234" s="83" t="s">
        <v>32</v>
      </c>
      <c r="C234" s="83" t="s">
        <v>12</v>
      </c>
      <c r="D234" s="83" t="s">
        <v>32</v>
      </c>
      <c r="E234" s="84">
        <v>5</v>
      </c>
      <c r="F234" s="83" t="s">
        <v>15</v>
      </c>
      <c r="G234" s="83" t="s">
        <v>239</v>
      </c>
      <c r="H234" s="84"/>
      <c r="I234" s="64">
        <f>I235</f>
        <v>0</v>
      </c>
      <c r="J234" s="64">
        <f t="shared" ref="J234:K234" si="101">J235</f>
        <v>0</v>
      </c>
      <c r="K234" s="64">
        <f t="shared" si="101"/>
        <v>0</v>
      </c>
    </row>
    <row r="235" spans="1:11" ht="31.2" hidden="1">
      <c r="A235" s="22" t="s">
        <v>22</v>
      </c>
      <c r="B235" s="83" t="s">
        <v>32</v>
      </c>
      <c r="C235" s="83" t="s">
        <v>12</v>
      </c>
      <c r="D235" s="83" t="s">
        <v>32</v>
      </c>
      <c r="E235" s="84">
        <v>5</v>
      </c>
      <c r="F235" s="83" t="s">
        <v>15</v>
      </c>
      <c r="G235" s="83" t="s">
        <v>239</v>
      </c>
      <c r="H235" s="84">
        <v>240</v>
      </c>
      <c r="I235" s="64"/>
      <c r="J235" s="64"/>
      <c r="K235" s="64"/>
    </row>
    <row r="236" spans="1:11" ht="31.2" hidden="1">
      <c r="A236" s="22" t="s">
        <v>90</v>
      </c>
      <c r="B236" s="83" t="s">
        <v>32</v>
      </c>
      <c r="C236" s="83" t="s">
        <v>12</v>
      </c>
      <c r="D236" s="83" t="s">
        <v>32</v>
      </c>
      <c r="E236" s="84">
        <v>5</v>
      </c>
      <c r="F236" s="83" t="s">
        <v>15</v>
      </c>
      <c r="G236" s="83" t="s">
        <v>240</v>
      </c>
      <c r="H236" s="84"/>
      <c r="I236" s="64">
        <f>I237</f>
        <v>0</v>
      </c>
      <c r="J236" s="64">
        <f t="shared" ref="J236:K236" si="102">J237</f>
        <v>0</v>
      </c>
      <c r="K236" s="64">
        <f t="shared" si="102"/>
        <v>0</v>
      </c>
    </row>
    <row r="237" spans="1:11" ht="31.2" hidden="1">
      <c r="A237" s="22" t="s">
        <v>22</v>
      </c>
      <c r="B237" s="83" t="s">
        <v>32</v>
      </c>
      <c r="C237" s="83" t="s">
        <v>12</v>
      </c>
      <c r="D237" s="83" t="s">
        <v>32</v>
      </c>
      <c r="E237" s="84">
        <v>5</v>
      </c>
      <c r="F237" s="83" t="s">
        <v>15</v>
      </c>
      <c r="G237" s="83" t="s">
        <v>240</v>
      </c>
      <c r="H237" s="84">
        <v>240</v>
      </c>
      <c r="I237" s="64"/>
      <c r="J237" s="64"/>
      <c r="K237" s="64"/>
    </row>
    <row r="238" spans="1:11" ht="31.2">
      <c r="A238" s="22" t="s">
        <v>241</v>
      </c>
      <c r="B238" s="83" t="s">
        <v>32</v>
      </c>
      <c r="C238" s="83" t="s">
        <v>12</v>
      </c>
      <c r="D238" s="83" t="s">
        <v>32</v>
      </c>
      <c r="E238" s="84">
        <v>6</v>
      </c>
      <c r="F238" s="83" t="s">
        <v>15</v>
      </c>
      <c r="G238" s="83" t="s">
        <v>16</v>
      </c>
      <c r="H238" s="84"/>
      <c r="I238" s="64">
        <f>I239</f>
        <v>11350000</v>
      </c>
      <c r="J238" s="64">
        <f t="shared" ref="J238:K239" si="103">J239</f>
        <v>11350000</v>
      </c>
      <c r="K238" s="64">
        <f t="shared" si="103"/>
        <v>11331000</v>
      </c>
    </row>
    <row r="239" spans="1:11">
      <c r="A239" s="22" t="s">
        <v>242</v>
      </c>
      <c r="B239" s="83" t="s">
        <v>32</v>
      </c>
      <c r="C239" s="83" t="s">
        <v>12</v>
      </c>
      <c r="D239" s="83" t="s">
        <v>32</v>
      </c>
      <c r="E239" s="84">
        <v>6</v>
      </c>
      <c r="F239" s="83" t="s">
        <v>15</v>
      </c>
      <c r="G239" s="83" t="s">
        <v>243</v>
      </c>
      <c r="H239" s="84"/>
      <c r="I239" s="64">
        <f>I240</f>
        <v>11350000</v>
      </c>
      <c r="J239" s="64">
        <f t="shared" si="103"/>
        <v>11350000</v>
      </c>
      <c r="K239" s="64">
        <f t="shared" si="103"/>
        <v>11331000</v>
      </c>
    </row>
    <row r="240" spans="1:11">
      <c r="A240" s="22" t="s">
        <v>49</v>
      </c>
      <c r="B240" s="83" t="s">
        <v>32</v>
      </c>
      <c r="C240" s="83" t="s">
        <v>12</v>
      </c>
      <c r="D240" s="83" t="s">
        <v>32</v>
      </c>
      <c r="E240" s="84">
        <v>6</v>
      </c>
      <c r="F240" s="83" t="s">
        <v>15</v>
      </c>
      <c r="G240" s="83" t="s">
        <v>243</v>
      </c>
      <c r="H240" s="84">
        <v>410</v>
      </c>
      <c r="I240" s="64">
        <f>'Прил 6'!J237</f>
        <v>11350000</v>
      </c>
      <c r="J240" s="64">
        <f>'Прил 6'!K237</f>
        <v>11350000</v>
      </c>
      <c r="K240" s="64">
        <f>'Прил 6'!L237</f>
        <v>11331000</v>
      </c>
    </row>
    <row r="241" spans="1:11">
      <c r="A241" s="22" t="s">
        <v>27</v>
      </c>
      <c r="B241" s="83" t="s">
        <v>32</v>
      </c>
      <c r="C241" s="84" t="s">
        <v>12</v>
      </c>
      <c r="D241" s="83" t="s">
        <v>28</v>
      </c>
      <c r="E241" s="84">
        <v>0</v>
      </c>
      <c r="F241" s="83" t="s">
        <v>15</v>
      </c>
      <c r="G241" s="83" t="s">
        <v>16</v>
      </c>
      <c r="H241" s="84"/>
      <c r="I241" s="64">
        <f>I242</f>
        <v>869695.64</v>
      </c>
      <c r="J241" s="64">
        <f t="shared" ref="J241:K243" si="104">J242</f>
        <v>869695.64</v>
      </c>
      <c r="K241" s="64">
        <f t="shared" si="104"/>
        <v>869695.64</v>
      </c>
    </row>
    <row r="242" spans="1:11">
      <c r="A242" s="22" t="s">
        <v>174</v>
      </c>
      <c r="B242" s="83" t="s">
        <v>32</v>
      </c>
      <c r="C242" s="84" t="s">
        <v>12</v>
      </c>
      <c r="D242" s="83" t="s">
        <v>28</v>
      </c>
      <c r="E242" s="84">
        <v>9</v>
      </c>
      <c r="F242" s="83" t="s">
        <v>15</v>
      </c>
      <c r="G242" s="83" t="s">
        <v>16</v>
      </c>
      <c r="H242" s="84"/>
      <c r="I242" s="64">
        <f>I243</f>
        <v>869695.64</v>
      </c>
      <c r="J242" s="64">
        <f t="shared" si="104"/>
        <v>869695.64</v>
      </c>
      <c r="K242" s="64">
        <f t="shared" si="104"/>
        <v>869695.64</v>
      </c>
    </row>
    <row r="243" spans="1:11" ht="31.2">
      <c r="A243" s="22" t="s">
        <v>244</v>
      </c>
      <c r="B243" s="83" t="s">
        <v>32</v>
      </c>
      <c r="C243" s="84" t="s">
        <v>12</v>
      </c>
      <c r="D243" s="83" t="s">
        <v>28</v>
      </c>
      <c r="E243" s="84">
        <v>9</v>
      </c>
      <c r="F243" s="83" t="s">
        <v>15</v>
      </c>
      <c r="G243" s="83" t="s">
        <v>245</v>
      </c>
      <c r="H243" s="84"/>
      <c r="I243" s="64">
        <f>I244</f>
        <v>869695.64</v>
      </c>
      <c r="J243" s="64">
        <f t="shared" si="104"/>
        <v>869695.64</v>
      </c>
      <c r="K243" s="64">
        <f t="shared" si="104"/>
        <v>869695.64</v>
      </c>
    </row>
    <row r="244" spans="1:11" ht="31.2">
      <c r="A244" s="22" t="s">
        <v>22</v>
      </c>
      <c r="B244" s="83" t="s">
        <v>32</v>
      </c>
      <c r="C244" s="84" t="s">
        <v>12</v>
      </c>
      <c r="D244" s="83" t="s">
        <v>28</v>
      </c>
      <c r="E244" s="84">
        <v>9</v>
      </c>
      <c r="F244" s="83" t="s">
        <v>15</v>
      </c>
      <c r="G244" s="83" t="s">
        <v>245</v>
      </c>
      <c r="H244" s="84">
        <v>240</v>
      </c>
      <c r="I244" s="64">
        <f>'Прил 6'!J241</f>
        <v>869695.64</v>
      </c>
      <c r="J244" s="64">
        <f>'Прил 6'!K241</f>
        <v>869695.64</v>
      </c>
      <c r="K244" s="64">
        <f>'Прил 6'!L241</f>
        <v>869695.64</v>
      </c>
    </row>
    <row r="245" spans="1:11">
      <c r="A245" s="21" t="s">
        <v>71</v>
      </c>
      <c r="B245" s="83" t="s">
        <v>32</v>
      </c>
      <c r="C245" s="83" t="s">
        <v>13</v>
      </c>
      <c r="D245" s="83"/>
      <c r="E245" s="84"/>
      <c r="F245" s="83"/>
      <c r="G245" s="83"/>
      <c r="H245" s="32"/>
      <c r="I245" s="64">
        <f>I246+I251</f>
        <v>689777.63</v>
      </c>
      <c r="J245" s="64">
        <f t="shared" ref="J245:K245" si="105">J246+J251</f>
        <v>689777.63</v>
      </c>
      <c r="K245" s="64">
        <f t="shared" si="105"/>
        <v>689777.63</v>
      </c>
    </row>
    <row r="246" spans="1:11" ht="46.8">
      <c r="A246" s="22" t="s">
        <v>232</v>
      </c>
      <c r="B246" s="83" t="s">
        <v>32</v>
      </c>
      <c r="C246" s="83" t="s">
        <v>13</v>
      </c>
      <c r="D246" s="83" t="s">
        <v>32</v>
      </c>
      <c r="E246" s="84">
        <v>0</v>
      </c>
      <c r="F246" s="83" t="s">
        <v>15</v>
      </c>
      <c r="G246" s="83" t="s">
        <v>16</v>
      </c>
      <c r="H246" s="84"/>
      <c r="I246" s="64">
        <f>I247</f>
        <v>641036.75</v>
      </c>
      <c r="J246" s="64">
        <f t="shared" ref="J246:K247" si="106">J247</f>
        <v>641036.75</v>
      </c>
      <c r="K246" s="64">
        <f t="shared" si="106"/>
        <v>641036.75</v>
      </c>
    </row>
    <row r="247" spans="1:11">
      <c r="A247" s="22" t="s">
        <v>384</v>
      </c>
      <c r="B247" s="83" t="s">
        <v>32</v>
      </c>
      <c r="C247" s="83" t="s">
        <v>13</v>
      </c>
      <c r="D247" s="83" t="s">
        <v>32</v>
      </c>
      <c r="E247" s="84">
        <v>4</v>
      </c>
      <c r="F247" s="83" t="s">
        <v>15</v>
      </c>
      <c r="G247" s="83" t="s">
        <v>16</v>
      </c>
      <c r="H247" s="32"/>
      <c r="I247" s="64">
        <f>I248</f>
        <v>641036.75</v>
      </c>
      <c r="J247" s="64">
        <f t="shared" si="106"/>
        <v>641036.75</v>
      </c>
      <c r="K247" s="64">
        <f t="shared" si="106"/>
        <v>641036.75</v>
      </c>
    </row>
    <row r="248" spans="1:11">
      <c r="A248" s="21" t="s">
        <v>391</v>
      </c>
      <c r="B248" s="83" t="s">
        <v>32</v>
      </c>
      <c r="C248" s="83" t="s">
        <v>13</v>
      </c>
      <c r="D248" s="83" t="s">
        <v>32</v>
      </c>
      <c r="E248" s="84">
        <v>4</v>
      </c>
      <c r="F248" s="83" t="s">
        <v>15</v>
      </c>
      <c r="G248" s="83" t="s">
        <v>390</v>
      </c>
      <c r="H248" s="32"/>
      <c r="I248" s="64">
        <f>SUM(I249:I250)</f>
        <v>641036.75</v>
      </c>
      <c r="J248" s="64">
        <f t="shared" ref="J248:K248" si="107">SUM(J249:J250)</f>
        <v>641036.75</v>
      </c>
      <c r="K248" s="64">
        <f t="shared" si="107"/>
        <v>641036.75</v>
      </c>
    </row>
    <row r="249" spans="1:11" hidden="1">
      <c r="A249" s="22" t="s">
        <v>49</v>
      </c>
      <c r="B249" s="83" t="s">
        <v>32</v>
      </c>
      <c r="C249" s="83" t="s">
        <v>13</v>
      </c>
      <c r="D249" s="83" t="s">
        <v>32</v>
      </c>
      <c r="E249" s="84">
        <v>4</v>
      </c>
      <c r="F249" s="83" t="s">
        <v>15</v>
      </c>
      <c r="G249" s="33">
        <v>29350</v>
      </c>
      <c r="H249" s="33">
        <v>410</v>
      </c>
      <c r="I249" s="64">
        <f>'Прил 6'!J246</f>
        <v>0</v>
      </c>
      <c r="J249" s="64">
        <f>'Прил 6'!K246</f>
        <v>0</v>
      </c>
      <c r="K249" s="64">
        <f>'Прил 6'!L246</f>
        <v>0</v>
      </c>
    </row>
    <row r="250" spans="1:11" ht="31.2">
      <c r="A250" s="22" t="s">
        <v>22</v>
      </c>
      <c r="B250" s="83" t="s">
        <v>32</v>
      </c>
      <c r="C250" s="83" t="s">
        <v>13</v>
      </c>
      <c r="D250" s="83" t="s">
        <v>32</v>
      </c>
      <c r="E250" s="84">
        <v>4</v>
      </c>
      <c r="F250" s="83" t="s">
        <v>15</v>
      </c>
      <c r="G250" s="33">
        <v>29350</v>
      </c>
      <c r="H250" s="33">
        <v>240</v>
      </c>
      <c r="I250" s="64">
        <f>'Прил 6'!J247</f>
        <v>641036.75</v>
      </c>
      <c r="J250" s="64">
        <f>'Прил 6'!K247</f>
        <v>641036.75</v>
      </c>
      <c r="K250" s="64">
        <f>'Прил 6'!L247</f>
        <v>641036.75</v>
      </c>
    </row>
    <row r="251" spans="1:11">
      <c r="A251" s="21" t="s">
        <v>41</v>
      </c>
      <c r="B251" s="83" t="s">
        <v>32</v>
      </c>
      <c r="C251" s="83" t="s">
        <v>13</v>
      </c>
      <c r="D251" s="83">
        <v>94</v>
      </c>
      <c r="E251" s="84">
        <v>0</v>
      </c>
      <c r="F251" s="83" t="s">
        <v>15</v>
      </c>
      <c r="G251" s="83" t="s">
        <v>16</v>
      </c>
      <c r="H251" s="33"/>
      <c r="I251" s="64">
        <f>I252</f>
        <v>48740.88</v>
      </c>
      <c r="J251" s="64">
        <f t="shared" ref="J251:K253" si="108">J252</f>
        <v>48740.88</v>
      </c>
      <c r="K251" s="64">
        <f t="shared" si="108"/>
        <v>48740.88</v>
      </c>
    </row>
    <row r="252" spans="1:11">
      <c r="A252" s="21" t="s">
        <v>128</v>
      </c>
      <c r="B252" s="83" t="s">
        <v>32</v>
      </c>
      <c r="C252" s="83" t="s">
        <v>13</v>
      </c>
      <c r="D252" s="83">
        <v>94</v>
      </c>
      <c r="E252" s="84">
        <v>1</v>
      </c>
      <c r="F252" s="83" t="s">
        <v>15</v>
      </c>
      <c r="G252" s="83" t="s">
        <v>16</v>
      </c>
      <c r="H252" s="33"/>
      <c r="I252" s="64">
        <f>I253</f>
        <v>48740.88</v>
      </c>
      <c r="J252" s="64">
        <f t="shared" si="108"/>
        <v>48740.88</v>
      </c>
      <c r="K252" s="64">
        <f t="shared" si="108"/>
        <v>48740.88</v>
      </c>
    </row>
    <row r="253" spans="1:11">
      <c r="A253" s="21" t="s">
        <v>128</v>
      </c>
      <c r="B253" s="83" t="s">
        <v>32</v>
      </c>
      <c r="C253" s="83" t="s">
        <v>13</v>
      </c>
      <c r="D253" s="83">
        <v>94</v>
      </c>
      <c r="E253" s="84">
        <v>1</v>
      </c>
      <c r="F253" s="83" t="s">
        <v>15</v>
      </c>
      <c r="G253" s="83" t="s">
        <v>129</v>
      </c>
      <c r="H253" s="33"/>
      <c r="I253" s="64">
        <f>I254</f>
        <v>48740.88</v>
      </c>
      <c r="J253" s="64">
        <f t="shared" si="108"/>
        <v>48740.88</v>
      </c>
      <c r="K253" s="64">
        <f t="shared" si="108"/>
        <v>48740.88</v>
      </c>
    </row>
    <row r="254" spans="1:11" ht="31.2">
      <c r="A254" s="22" t="s">
        <v>22</v>
      </c>
      <c r="B254" s="83" t="s">
        <v>32</v>
      </c>
      <c r="C254" s="83" t="s">
        <v>13</v>
      </c>
      <c r="D254" s="83">
        <v>94</v>
      </c>
      <c r="E254" s="84">
        <v>1</v>
      </c>
      <c r="F254" s="83" t="s">
        <v>15</v>
      </c>
      <c r="G254" s="83" t="s">
        <v>129</v>
      </c>
      <c r="H254" s="33">
        <v>240</v>
      </c>
      <c r="I254" s="64">
        <f>'Прил 6'!J251</f>
        <v>48740.88</v>
      </c>
      <c r="J254" s="64">
        <f>'Прил 6'!K251</f>
        <v>48740.88</v>
      </c>
      <c r="K254" s="64">
        <f>'Прил 6'!L251</f>
        <v>48740.88</v>
      </c>
    </row>
    <row r="255" spans="1:11">
      <c r="A255" s="21" t="s">
        <v>72</v>
      </c>
      <c r="B255" s="83" t="s">
        <v>32</v>
      </c>
      <c r="C255" s="84" t="s">
        <v>19</v>
      </c>
      <c r="D255" s="83" t="s">
        <v>93</v>
      </c>
      <c r="E255" s="84"/>
      <c r="F255" s="83"/>
      <c r="G255" s="83"/>
      <c r="H255" s="84"/>
      <c r="I255" s="63">
        <f>I256+I291+I302</f>
        <v>33429962.34</v>
      </c>
      <c r="J255" s="63">
        <f t="shared" ref="J255:K255" si="109">J256+J291+J302</f>
        <v>33429962.340000007</v>
      </c>
      <c r="K255" s="63">
        <f t="shared" si="109"/>
        <v>30675895.75</v>
      </c>
    </row>
    <row r="256" spans="1:11" ht="46.8">
      <c r="A256" s="21" t="s">
        <v>209</v>
      </c>
      <c r="B256" s="83" t="s">
        <v>32</v>
      </c>
      <c r="C256" s="83" t="s">
        <v>19</v>
      </c>
      <c r="D256" s="83" t="s">
        <v>19</v>
      </c>
      <c r="E256" s="84">
        <v>0</v>
      </c>
      <c r="F256" s="83" t="s">
        <v>15</v>
      </c>
      <c r="G256" s="83" t="s">
        <v>16</v>
      </c>
      <c r="H256" s="84"/>
      <c r="I256" s="64">
        <f>I257+I264</f>
        <v>33200468.959999997</v>
      </c>
      <c r="J256" s="64">
        <f t="shared" ref="J256:K256" si="110">J257+J264</f>
        <v>33200468.960000005</v>
      </c>
      <c r="K256" s="64">
        <f t="shared" si="110"/>
        <v>30446402.379999999</v>
      </c>
    </row>
    <row r="257" spans="1:11">
      <c r="A257" s="22" t="s">
        <v>246</v>
      </c>
      <c r="B257" s="83" t="s">
        <v>32</v>
      </c>
      <c r="C257" s="83" t="s">
        <v>19</v>
      </c>
      <c r="D257" s="83" t="s">
        <v>19</v>
      </c>
      <c r="E257" s="84">
        <v>2</v>
      </c>
      <c r="F257" s="83" t="s">
        <v>15</v>
      </c>
      <c r="G257" s="83" t="s">
        <v>16</v>
      </c>
      <c r="H257" s="84"/>
      <c r="I257" s="64">
        <f>I258+I260+I262</f>
        <v>8550000</v>
      </c>
      <c r="J257" s="64">
        <f t="shared" ref="J257:K257" si="111">J258+J260+J262</f>
        <v>8362269.1600000001</v>
      </c>
      <c r="K257" s="64">
        <f t="shared" si="111"/>
        <v>8122115.7199999997</v>
      </c>
    </row>
    <row r="258" spans="1:11" hidden="1">
      <c r="A258" s="22" t="s">
        <v>247</v>
      </c>
      <c r="B258" s="83" t="s">
        <v>32</v>
      </c>
      <c r="C258" s="83" t="s">
        <v>19</v>
      </c>
      <c r="D258" s="83" t="s">
        <v>19</v>
      </c>
      <c r="E258" s="84">
        <v>2</v>
      </c>
      <c r="F258" s="83" t="s">
        <v>15</v>
      </c>
      <c r="G258" s="83" t="s">
        <v>238</v>
      </c>
      <c r="H258" s="84"/>
      <c r="I258" s="64">
        <f>I259</f>
        <v>0</v>
      </c>
      <c r="J258" s="64">
        <f t="shared" ref="J258:K258" si="112">J259</f>
        <v>0</v>
      </c>
      <c r="K258" s="64">
        <f t="shared" si="112"/>
        <v>0</v>
      </c>
    </row>
    <row r="259" spans="1:11" hidden="1">
      <c r="A259" s="22" t="s">
        <v>49</v>
      </c>
      <c r="B259" s="83" t="s">
        <v>32</v>
      </c>
      <c r="C259" s="83" t="s">
        <v>19</v>
      </c>
      <c r="D259" s="83" t="s">
        <v>19</v>
      </c>
      <c r="E259" s="84">
        <v>2</v>
      </c>
      <c r="F259" s="83" t="s">
        <v>15</v>
      </c>
      <c r="G259" s="83" t="s">
        <v>238</v>
      </c>
      <c r="H259" s="84">
        <v>410</v>
      </c>
      <c r="I259" s="64">
        <f>'Прил 6'!J256</f>
        <v>0</v>
      </c>
      <c r="J259" s="64">
        <f>'Прил 6'!K256</f>
        <v>0</v>
      </c>
      <c r="K259" s="64">
        <f>'Прил 6'!L256</f>
        <v>0</v>
      </c>
    </row>
    <row r="260" spans="1:11">
      <c r="A260" s="22" t="s">
        <v>248</v>
      </c>
      <c r="B260" s="83" t="s">
        <v>32</v>
      </c>
      <c r="C260" s="83" t="s">
        <v>19</v>
      </c>
      <c r="D260" s="83" t="s">
        <v>19</v>
      </c>
      <c r="E260" s="84">
        <v>2</v>
      </c>
      <c r="F260" s="83" t="s">
        <v>15</v>
      </c>
      <c r="G260" s="83" t="s">
        <v>249</v>
      </c>
      <c r="H260" s="84"/>
      <c r="I260" s="64">
        <f>I261</f>
        <v>6650000</v>
      </c>
      <c r="J260" s="64">
        <f t="shared" ref="J260:K260" si="113">J261</f>
        <v>6462269.1600000001</v>
      </c>
      <c r="K260" s="64">
        <f t="shared" si="113"/>
        <v>6222115.7199999997</v>
      </c>
    </row>
    <row r="261" spans="1:11" ht="31.2">
      <c r="A261" s="22" t="s">
        <v>22</v>
      </c>
      <c r="B261" s="83" t="s">
        <v>32</v>
      </c>
      <c r="C261" s="83" t="s">
        <v>19</v>
      </c>
      <c r="D261" s="83" t="s">
        <v>19</v>
      </c>
      <c r="E261" s="84">
        <v>2</v>
      </c>
      <c r="F261" s="83" t="s">
        <v>15</v>
      </c>
      <c r="G261" s="83" t="s">
        <v>249</v>
      </c>
      <c r="H261" s="84">
        <v>240</v>
      </c>
      <c r="I261" s="64">
        <f>'Прил 6'!J258</f>
        <v>6650000</v>
      </c>
      <c r="J261" s="64">
        <f>'Прил 6'!K258</f>
        <v>6462269.1600000001</v>
      </c>
      <c r="K261" s="64">
        <f>'Прил 6'!L258</f>
        <v>6222115.7199999997</v>
      </c>
    </row>
    <row r="262" spans="1:11">
      <c r="A262" s="22" t="s">
        <v>250</v>
      </c>
      <c r="B262" s="83" t="s">
        <v>32</v>
      </c>
      <c r="C262" s="83" t="s">
        <v>19</v>
      </c>
      <c r="D262" s="83" t="s">
        <v>19</v>
      </c>
      <c r="E262" s="84">
        <v>2</v>
      </c>
      <c r="F262" s="83" t="s">
        <v>15</v>
      </c>
      <c r="G262" s="83" t="s">
        <v>251</v>
      </c>
      <c r="H262" s="84"/>
      <c r="I262" s="64">
        <f>I263</f>
        <v>1900000</v>
      </c>
      <c r="J262" s="64">
        <f t="shared" ref="J262:K262" si="114">J263</f>
        <v>1900000</v>
      </c>
      <c r="K262" s="64">
        <f t="shared" si="114"/>
        <v>1900000</v>
      </c>
    </row>
    <row r="263" spans="1:11" ht="31.2">
      <c r="A263" s="22" t="s">
        <v>22</v>
      </c>
      <c r="B263" s="83" t="s">
        <v>32</v>
      </c>
      <c r="C263" s="83" t="s">
        <v>19</v>
      </c>
      <c r="D263" s="83" t="s">
        <v>19</v>
      </c>
      <c r="E263" s="84">
        <v>2</v>
      </c>
      <c r="F263" s="83" t="s">
        <v>15</v>
      </c>
      <c r="G263" s="83" t="s">
        <v>251</v>
      </c>
      <c r="H263" s="84">
        <v>240</v>
      </c>
      <c r="I263" s="64">
        <f>'Прил 6'!J260</f>
        <v>1900000</v>
      </c>
      <c r="J263" s="64">
        <f>'Прил 6'!K260</f>
        <v>1900000</v>
      </c>
      <c r="K263" s="64">
        <f>'Прил 6'!L260</f>
        <v>1900000</v>
      </c>
    </row>
    <row r="264" spans="1:11" ht="31.2">
      <c r="A264" s="22" t="s">
        <v>252</v>
      </c>
      <c r="B264" s="83" t="s">
        <v>32</v>
      </c>
      <c r="C264" s="83" t="s">
        <v>19</v>
      </c>
      <c r="D264" s="83" t="s">
        <v>19</v>
      </c>
      <c r="E264" s="84">
        <v>3</v>
      </c>
      <c r="F264" s="83" t="s">
        <v>15</v>
      </c>
      <c r="G264" s="83" t="s">
        <v>16</v>
      </c>
      <c r="H264" s="84"/>
      <c r="I264" s="64">
        <f>I265+I268+I270+I272+I275+I277+I279+I281+I283+I285+I287+I289</f>
        <v>24650468.959999997</v>
      </c>
      <c r="J264" s="64">
        <f t="shared" ref="J264:K264" si="115">J265+J268+J270+J272+J275+J277+J279+J281+J283+J285+J287+J289</f>
        <v>24838199.800000004</v>
      </c>
      <c r="K264" s="64">
        <f t="shared" si="115"/>
        <v>22324286.66</v>
      </c>
    </row>
    <row r="265" spans="1:11">
      <c r="A265" s="22" t="s">
        <v>253</v>
      </c>
      <c r="B265" s="83" t="s">
        <v>32</v>
      </c>
      <c r="C265" s="83" t="s">
        <v>19</v>
      </c>
      <c r="D265" s="83" t="s">
        <v>19</v>
      </c>
      <c r="E265" s="84">
        <v>3</v>
      </c>
      <c r="F265" s="83" t="s">
        <v>15</v>
      </c>
      <c r="G265" s="83" t="s">
        <v>254</v>
      </c>
      <c r="H265" s="84"/>
      <c r="I265" s="64">
        <f>SUM(I266:I267)</f>
        <v>356000</v>
      </c>
      <c r="J265" s="64">
        <f t="shared" ref="J265:K265" si="116">SUM(J266:J267)</f>
        <v>356000</v>
      </c>
      <c r="K265" s="64">
        <f t="shared" si="116"/>
        <v>356000</v>
      </c>
    </row>
    <row r="266" spans="1:11" ht="31.2">
      <c r="A266" s="22" t="s">
        <v>22</v>
      </c>
      <c r="B266" s="83" t="s">
        <v>32</v>
      </c>
      <c r="C266" s="83" t="s">
        <v>19</v>
      </c>
      <c r="D266" s="83" t="s">
        <v>19</v>
      </c>
      <c r="E266" s="84">
        <v>3</v>
      </c>
      <c r="F266" s="83" t="s">
        <v>15</v>
      </c>
      <c r="G266" s="83" t="s">
        <v>254</v>
      </c>
      <c r="H266" s="84">
        <v>240</v>
      </c>
      <c r="I266" s="64">
        <f>'Прил 6'!J263</f>
        <v>356000</v>
      </c>
      <c r="J266" s="64">
        <f>'Прил 6'!K263</f>
        <v>356000</v>
      </c>
      <c r="K266" s="64">
        <f>'Прил 6'!L263</f>
        <v>356000</v>
      </c>
    </row>
    <row r="267" spans="1:11" hidden="1">
      <c r="A267" s="22" t="s">
        <v>39</v>
      </c>
      <c r="B267" s="83" t="s">
        <v>32</v>
      </c>
      <c r="C267" s="83" t="s">
        <v>19</v>
      </c>
      <c r="D267" s="83" t="s">
        <v>19</v>
      </c>
      <c r="E267" s="84">
        <v>3</v>
      </c>
      <c r="F267" s="83" t="s">
        <v>15</v>
      </c>
      <c r="G267" s="83" t="s">
        <v>254</v>
      </c>
      <c r="H267" s="84">
        <v>350</v>
      </c>
      <c r="I267" s="64"/>
      <c r="J267" s="64"/>
      <c r="K267" s="64"/>
    </row>
    <row r="268" spans="1:11">
      <c r="A268" s="22" t="s">
        <v>255</v>
      </c>
      <c r="B268" s="83" t="s">
        <v>32</v>
      </c>
      <c r="C268" s="83" t="s">
        <v>19</v>
      </c>
      <c r="D268" s="83" t="s">
        <v>19</v>
      </c>
      <c r="E268" s="84">
        <v>3</v>
      </c>
      <c r="F268" s="83" t="s">
        <v>15</v>
      </c>
      <c r="G268" s="83" t="s">
        <v>256</v>
      </c>
      <c r="H268" s="84"/>
      <c r="I268" s="64">
        <f>I269</f>
        <v>444722.22</v>
      </c>
      <c r="J268" s="64">
        <f t="shared" ref="J268:K268" si="117">J269</f>
        <v>444722.22</v>
      </c>
      <c r="K268" s="64">
        <f t="shared" si="117"/>
        <v>444722.22</v>
      </c>
    </row>
    <row r="269" spans="1:11" ht="31.2">
      <c r="A269" s="22" t="s">
        <v>22</v>
      </c>
      <c r="B269" s="83" t="s">
        <v>32</v>
      </c>
      <c r="C269" s="83" t="s">
        <v>19</v>
      </c>
      <c r="D269" s="83" t="s">
        <v>19</v>
      </c>
      <c r="E269" s="84">
        <v>3</v>
      </c>
      <c r="F269" s="83" t="s">
        <v>15</v>
      </c>
      <c r="G269" s="83" t="s">
        <v>256</v>
      </c>
      <c r="H269" s="84">
        <v>240</v>
      </c>
      <c r="I269" s="64">
        <f>'Прил 6'!J266</f>
        <v>444722.22</v>
      </c>
      <c r="J269" s="64">
        <f>'Прил 6'!K266</f>
        <v>444722.22</v>
      </c>
      <c r="K269" s="64">
        <f>'Прил 6'!L266</f>
        <v>444722.22</v>
      </c>
    </row>
    <row r="270" spans="1:11">
      <c r="A270" s="22" t="s">
        <v>257</v>
      </c>
      <c r="B270" s="83" t="s">
        <v>32</v>
      </c>
      <c r="C270" s="83" t="s">
        <v>19</v>
      </c>
      <c r="D270" s="83" t="s">
        <v>19</v>
      </c>
      <c r="E270" s="84">
        <v>3</v>
      </c>
      <c r="F270" s="83" t="s">
        <v>15</v>
      </c>
      <c r="G270" s="84">
        <v>29220</v>
      </c>
      <c r="H270" s="84"/>
      <c r="I270" s="64">
        <f>I271</f>
        <v>1418117.81</v>
      </c>
      <c r="J270" s="64">
        <f t="shared" ref="J270:K270" si="118">J271</f>
        <v>1418117.81</v>
      </c>
      <c r="K270" s="64">
        <f t="shared" si="118"/>
        <v>1342970.77</v>
      </c>
    </row>
    <row r="271" spans="1:11" ht="31.2">
      <c r="A271" s="22" t="s">
        <v>22</v>
      </c>
      <c r="B271" s="83" t="s">
        <v>32</v>
      </c>
      <c r="C271" s="83" t="s">
        <v>19</v>
      </c>
      <c r="D271" s="83" t="s">
        <v>19</v>
      </c>
      <c r="E271" s="84">
        <v>3</v>
      </c>
      <c r="F271" s="83" t="s">
        <v>15</v>
      </c>
      <c r="G271" s="84">
        <v>29220</v>
      </c>
      <c r="H271" s="84">
        <v>240</v>
      </c>
      <c r="I271" s="64">
        <f>'Прил 6'!J268</f>
        <v>1418117.81</v>
      </c>
      <c r="J271" s="64">
        <f>'Прил 6'!K268</f>
        <v>1418117.81</v>
      </c>
      <c r="K271" s="64">
        <f>'Прил 6'!L268</f>
        <v>1342970.77</v>
      </c>
    </row>
    <row r="272" spans="1:11">
      <c r="A272" s="22" t="s">
        <v>258</v>
      </c>
      <c r="B272" s="83" t="s">
        <v>32</v>
      </c>
      <c r="C272" s="83" t="s">
        <v>19</v>
      </c>
      <c r="D272" s="83" t="s">
        <v>19</v>
      </c>
      <c r="E272" s="84">
        <v>3</v>
      </c>
      <c r="F272" s="83" t="s">
        <v>15</v>
      </c>
      <c r="G272" s="83" t="s">
        <v>259</v>
      </c>
      <c r="H272" s="84"/>
      <c r="I272" s="64">
        <f>SUM(I273:I274)</f>
        <v>11879724.359999996</v>
      </c>
      <c r="J272" s="64">
        <f t="shared" ref="J272:K272" si="119">SUM(J273:J274)</f>
        <v>11669456.119999999</v>
      </c>
      <c r="K272" s="64">
        <f t="shared" si="119"/>
        <v>11085053.59</v>
      </c>
    </row>
    <row r="273" spans="1:11" ht="31.2">
      <c r="A273" s="22" t="s">
        <v>22</v>
      </c>
      <c r="B273" s="83" t="s">
        <v>32</v>
      </c>
      <c r="C273" s="83" t="s">
        <v>19</v>
      </c>
      <c r="D273" s="83" t="s">
        <v>19</v>
      </c>
      <c r="E273" s="84">
        <v>3</v>
      </c>
      <c r="F273" s="83" t="s">
        <v>15</v>
      </c>
      <c r="G273" s="83" t="s">
        <v>259</v>
      </c>
      <c r="H273" s="84">
        <v>240</v>
      </c>
      <c r="I273" s="64">
        <f>'Прил 6'!J270</f>
        <v>11379724.359999996</v>
      </c>
      <c r="J273" s="64">
        <f>'Прил 6'!K270</f>
        <v>11169456.119999999</v>
      </c>
      <c r="K273" s="64">
        <f>'Прил 6'!L270</f>
        <v>10585053.59</v>
      </c>
    </row>
    <row r="274" spans="1:11">
      <c r="A274" s="22" t="s">
        <v>39</v>
      </c>
      <c r="B274" s="83" t="s">
        <v>32</v>
      </c>
      <c r="C274" s="83" t="s">
        <v>19</v>
      </c>
      <c r="D274" s="83" t="s">
        <v>19</v>
      </c>
      <c r="E274" s="84">
        <v>3</v>
      </c>
      <c r="F274" s="83" t="s">
        <v>15</v>
      </c>
      <c r="G274" s="83" t="s">
        <v>259</v>
      </c>
      <c r="H274" s="84">
        <v>350</v>
      </c>
      <c r="I274" s="64">
        <f>'Прил 6'!J271</f>
        <v>500000</v>
      </c>
      <c r="J274" s="64">
        <f>'Прил 6'!K271</f>
        <v>500000</v>
      </c>
      <c r="K274" s="64">
        <f>'Прил 6'!L271</f>
        <v>500000</v>
      </c>
    </row>
    <row r="275" spans="1:11" hidden="1">
      <c r="A275" s="22" t="s">
        <v>260</v>
      </c>
      <c r="B275" s="83" t="s">
        <v>32</v>
      </c>
      <c r="C275" s="83" t="s">
        <v>19</v>
      </c>
      <c r="D275" s="83" t="s">
        <v>19</v>
      </c>
      <c r="E275" s="84">
        <v>3</v>
      </c>
      <c r="F275" s="83" t="s">
        <v>15</v>
      </c>
      <c r="G275" s="84">
        <v>29470</v>
      </c>
      <c r="H275" s="84"/>
      <c r="I275" s="64">
        <f>I276</f>
        <v>0</v>
      </c>
      <c r="J275" s="64">
        <f t="shared" ref="J275:K275" si="120">J276</f>
        <v>0</v>
      </c>
      <c r="K275" s="64">
        <f t="shared" si="120"/>
        <v>0</v>
      </c>
    </row>
    <row r="276" spans="1:11" ht="31.2" hidden="1">
      <c r="A276" s="22" t="s">
        <v>22</v>
      </c>
      <c r="B276" s="83" t="s">
        <v>32</v>
      </c>
      <c r="C276" s="83" t="s">
        <v>19</v>
      </c>
      <c r="D276" s="83" t="s">
        <v>19</v>
      </c>
      <c r="E276" s="84">
        <v>3</v>
      </c>
      <c r="F276" s="83" t="s">
        <v>15</v>
      </c>
      <c r="G276" s="84">
        <v>29470</v>
      </c>
      <c r="H276" s="84">
        <v>240</v>
      </c>
      <c r="I276" s="64"/>
      <c r="J276" s="64"/>
      <c r="K276" s="64"/>
    </row>
    <row r="277" spans="1:11" hidden="1">
      <c r="A277" s="22" t="s">
        <v>261</v>
      </c>
      <c r="B277" s="83" t="s">
        <v>32</v>
      </c>
      <c r="C277" s="83" t="s">
        <v>19</v>
      </c>
      <c r="D277" s="83" t="s">
        <v>19</v>
      </c>
      <c r="E277" s="84">
        <v>3</v>
      </c>
      <c r="F277" s="83" t="s">
        <v>15</v>
      </c>
      <c r="G277" s="84">
        <v>29490</v>
      </c>
      <c r="H277" s="84"/>
      <c r="I277" s="64">
        <f>I278</f>
        <v>0</v>
      </c>
      <c r="J277" s="64">
        <f t="shared" ref="J277:K277" si="121">J278</f>
        <v>0</v>
      </c>
      <c r="K277" s="64">
        <f t="shared" si="121"/>
        <v>0</v>
      </c>
    </row>
    <row r="278" spans="1:11" ht="31.2" hidden="1">
      <c r="A278" s="22" t="s">
        <v>22</v>
      </c>
      <c r="B278" s="83" t="s">
        <v>32</v>
      </c>
      <c r="C278" s="83" t="s">
        <v>19</v>
      </c>
      <c r="D278" s="83" t="s">
        <v>19</v>
      </c>
      <c r="E278" s="84">
        <v>3</v>
      </c>
      <c r="F278" s="83" t="s">
        <v>15</v>
      </c>
      <c r="G278" s="84">
        <v>29490</v>
      </c>
      <c r="H278" s="84">
        <v>240</v>
      </c>
      <c r="I278" s="64">
        <f>'Прил 6'!J275</f>
        <v>0</v>
      </c>
      <c r="J278" s="64">
        <f>'Прил 6'!K275</f>
        <v>0</v>
      </c>
      <c r="K278" s="64">
        <f>'Прил 6'!L275</f>
        <v>0</v>
      </c>
    </row>
    <row r="279" spans="1:11">
      <c r="A279" s="22" t="s">
        <v>262</v>
      </c>
      <c r="B279" s="83" t="s">
        <v>32</v>
      </c>
      <c r="C279" s="83" t="s">
        <v>19</v>
      </c>
      <c r="D279" s="83" t="s">
        <v>19</v>
      </c>
      <c r="E279" s="84">
        <v>3</v>
      </c>
      <c r="F279" s="83" t="s">
        <v>15</v>
      </c>
      <c r="G279" s="83" t="s">
        <v>263</v>
      </c>
      <c r="H279" s="84"/>
      <c r="I279" s="64">
        <f>I280</f>
        <v>5927804.669999999</v>
      </c>
      <c r="J279" s="64">
        <f t="shared" ref="J279:K279" si="122">J280</f>
        <v>5927804.6699999999</v>
      </c>
      <c r="K279" s="64">
        <f t="shared" si="122"/>
        <v>5927804.6699999999</v>
      </c>
    </row>
    <row r="280" spans="1:11" ht="31.2">
      <c r="A280" s="22" t="s">
        <v>22</v>
      </c>
      <c r="B280" s="83" t="s">
        <v>32</v>
      </c>
      <c r="C280" s="83" t="s">
        <v>19</v>
      </c>
      <c r="D280" s="83" t="s">
        <v>19</v>
      </c>
      <c r="E280" s="84">
        <v>3</v>
      </c>
      <c r="F280" s="83" t="s">
        <v>15</v>
      </c>
      <c r="G280" s="83" t="s">
        <v>263</v>
      </c>
      <c r="H280" s="84">
        <v>240</v>
      </c>
      <c r="I280" s="64">
        <f>'Прил 6'!J277</f>
        <v>5927804.669999999</v>
      </c>
      <c r="J280" s="64">
        <f>'Прил 6'!K277</f>
        <v>5927804.6699999999</v>
      </c>
      <c r="K280" s="64">
        <f>'Прил 6'!L277</f>
        <v>5927804.6699999999</v>
      </c>
    </row>
    <row r="281" spans="1:11">
      <c r="A281" s="22" t="s">
        <v>264</v>
      </c>
      <c r="B281" s="83" t="s">
        <v>32</v>
      </c>
      <c r="C281" s="83" t="s">
        <v>19</v>
      </c>
      <c r="D281" s="83" t="s">
        <v>19</v>
      </c>
      <c r="E281" s="84">
        <v>3</v>
      </c>
      <c r="F281" s="83" t="s">
        <v>15</v>
      </c>
      <c r="G281" s="83" t="s">
        <v>265</v>
      </c>
      <c r="H281" s="84"/>
      <c r="I281" s="64">
        <f>I282</f>
        <v>2718737.44</v>
      </c>
      <c r="J281" s="64">
        <f t="shared" ref="J281:K281" si="123">J282</f>
        <v>2718737.44</v>
      </c>
      <c r="K281" s="64">
        <f t="shared" si="123"/>
        <v>2662372.9500000002</v>
      </c>
    </row>
    <row r="282" spans="1:11" ht="31.2">
      <c r="A282" s="22" t="s">
        <v>22</v>
      </c>
      <c r="B282" s="83" t="s">
        <v>32</v>
      </c>
      <c r="C282" s="83" t="s">
        <v>19</v>
      </c>
      <c r="D282" s="83" t="s">
        <v>19</v>
      </c>
      <c r="E282" s="84">
        <v>3</v>
      </c>
      <c r="F282" s="83" t="s">
        <v>15</v>
      </c>
      <c r="G282" s="83" t="s">
        <v>265</v>
      </c>
      <c r="H282" s="84">
        <v>240</v>
      </c>
      <c r="I282" s="64">
        <f>'Прил 6'!J279</f>
        <v>2718737.44</v>
      </c>
      <c r="J282" s="64">
        <f>'Прил 6'!K279</f>
        <v>2718737.44</v>
      </c>
      <c r="K282" s="64">
        <f>'Прил 6'!L279</f>
        <v>2662372.9500000002</v>
      </c>
    </row>
    <row r="283" spans="1:11">
      <c r="A283" s="22" t="s">
        <v>266</v>
      </c>
      <c r="B283" s="83" t="s">
        <v>32</v>
      </c>
      <c r="C283" s="83" t="s">
        <v>19</v>
      </c>
      <c r="D283" s="83" t="s">
        <v>19</v>
      </c>
      <c r="E283" s="84">
        <v>3</v>
      </c>
      <c r="F283" s="83" t="s">
        <v>15</v>
      </c>
      <c r="G283" s="83" t="s">
        <v>267</v>
      </c>
      <c r="H283" s="84"/>
      <c r="I283" s="64">
        <f>I284</f>
        <v>1400000</v>
      </c>
      <c r="J283" s="64">
        <f t="shared" ref="J283:K283" si="124">J284</f>
        <v>1797999.08</v>
      </c>
      <c r="K283" s="64">
        <f t="shared" si="124"/>
        <v>0</v>
      </c>
    </row>
    <row r="284" spans="1:11" ht="31.2">
      <c r="A284" s="22" t="s">
        <v>22</v>
      </c>
      <c r="B284" s="83" t="s">
        <v>32</v>
      </c>
      <c r="C284" s="83" t="s">
        <v>19</v>
      </c>
      <c r="D284" s="83" t="s">
        <v>19</v>
      </c>
      <c r="E284" s="84">
        <v>3</v>
      </c>
      <c r="F284" s="83" t="s">
        <v>15</v>
      </c>
      <c r="G284" s="83" t="s">
        <v>267</v>
      </c>
      <c r="H284" s="84">
        <v>240</v>
      </c>
      <c r="I284" s="64">
        <f>'Прил 6'!J281</f>
        <v>1400000</v>
      </c>
      <c r="J284" s="64">
        <f>'Прил 6'!K281</f>
        <v>1797999.08</v>
      </c>
      <c r="K284" s="64">
        <f>'Прил 6'!L281</f>
        <v>0</v>
      </c>
    </row>
    <row r="285" spans="1:11" ht="21" hidden="1" customHeight="1">
      <c r="A285" s="22" t="s">
        <v>268</v>
      </c>
      <c r="B285" s="83" t="s">
        <v>32</v>
      </c>
      <c r="C285" s="83" t="s">
        <v>19</v>
      </c>
      <c r="D285" s="83" t="s">
        <v>19</v>
      </c>
      <c r="E285" s="84">
        <v>3</v>
      </c>
      <c r="F285" s="83" t="s">
        <v>15</v>
      </c>
      <c r="G285" s="83" t="s">
        <v>269</v>
      </c>
      <c r="H285" s="84"/>
      <c r="I285" s="64">
        <f>I286</f>
        <v>0</v>
      </c>
      <c r="J285" s="64">
        <f t="shared" ref="J285:K285" si="125">J286</f>
        <v>0</v>
      </c>
      <c r="K285" s="64">
        <f t="shared" si="125"/>
        <v>0</v>
      </c>
    </row>
    <row r="286" spans="1:11" ht="31.2" hidden="1">
      <c r="A286" s="22" t="s">
        <v>22</v>
      </c>
      <c r="B286" s="83" t="s">
        <v>32</v>
      </c>
      <c r="C286" s="83" t="s">
        <v>19</v>
      </c>
      <c r="D286" s="83" t="s">
        <v>19</v>
      </c>
      <c r="E286" s="84">
        <v>3</v>
      </c>
      <c r="F286" s="83" t="s">
        <v>15</v>
      </c>
      <c r="G286" s="83" t="s">
        <v>269</v>
      </c>
      <c r="H286" s="84">
        <v>240</v>
      </c>
      <c r="I286" s="64"/>
      <c r="J286" s="64"/>
      <c r="K286" s="64"/>
    </row>
    <row r="287" spans="1:11">
      <c r="A287" s="22" t="s">
        <v>270</v>
      </c>
      <c r="B287" s="83" t="s">
        <v>32</v>
      </c>
      <c r="C287" s="83" t="s">
        <v>19</v>
      </c>
      <c r="D287" s="83" t="s">
        <v>19</v>
      </c>
      <c r="E287" s="84">
        <v>3</v>
      </c>
      <c r="F287" s="83" t="s">
        <v>15</v>
      </c>
      <c r="G287" s="83" t="s">
        <v>271</v>
      </c>
      <c r="H287" s="84"/>
      <c r="I287" s="64">
        <f>I288</f>
        <v>505362.45999999996</v>
      </c>
      <c r="J287" s="64">
        <f t="shared" ref="J287:K287" si="126">J288</f>
        <v>505362.46</v>
      </c>
      <c r="K287" s="64">
        <f t="shared" si="126"/>
        <v>505362.46</v>
      </c>
    </row>
    <row r="288" spans="1:11" ht="31.2">
      <c r="A288" s="22" t="s">
        <v>22</v>
      </c>
      <c r="B288" s="83" t="s">
        <v>32</v>
      </c>
      <c r="C288" s="83" t="s">
        <v>19</v>
      </c>
      <c r="D288" s="83" t="s">
        <v>19</v>
      </c>
      <c r="E288" s="84">
        <v>3</v>
      </c>
      <c r="F288" s="83" t="s">
        <v>15</v>
      </c>
      <c r="G288" s="83" t="s">
        <v>271</v>
      </c>
      <c r="H288" s="84">
        <v>240</v>
      </c>
      <c r="I288" s="64">
        <f>'Прил 6'!J285</f>
        <v>505362.45999999996</v>
      </c>
      <c r="J288" s="64">
        <f>'Прил 6'!K285</f>
        <v>505362.46</v>
      </c>
      <c r="K288" s="64">
        <f>'Прил 6'!L285</f>
        <v>505362.46</v>
      </c>
    </row>
    <row r="289" spans="1:11" ht="31.2" hidden="1">
      <c r="A289" s="22" t="s">
        <v>272</v>
      </c>
      <c r="B289" s="83" t="s">
        <v>32</v>
      </c>
      <c r="C289" s="83" t="s">
        <v>19</v>
      </c>
      <c r="D289" s="83" t="s">
        <v>19</v>
      </c>
      <c r="E289" s="84">
        <v>3</v>
      </c>
      <c r="F289" s="83" t="s">
        <v>15</v>
      </c>
      <c r="G289" s="83" t="s">
        <v>273</v>
      </c>
      <c r="H289" s="84"/>
      <c r="I289" s="64">
        <f>I290</f>
        <v>0</v>
      </c>
      <c r="J289" s="64">
        <f t="shared" ref="J289:K289" si="127">J290</f>
        <v>0</v>
      </c>
      <c r="K289" s="64">
        <f t="shared" si="127"/>
        <v>0</v>
      </c>
    </row>
    <row r="290" spans="1:11" ht="31.2" hidden="1">
      <c r="A290" s="22" t="s">
        <v>22</v>
      </c>
      <c r="B290" s="83" t="s">
        <v>32</v>
      </c>
      <c r="C290" s="83" t="s">
        <v>19</v>
      </c>
      <c r="D290" s="83" t="s">
        <v>19</v>
      </c>
      <c r="E290" s="84">
        <v>3</v>
      </c>
      <c r="F290" s="83" t="s">
        <v>15</v>
      </c>
      <c r="G290" s="83" t="s">
        <v>273</v>
      </c>
      <c r="H290" s="84">
        <v>240</v>
      </c>
      <c r="I290" s="64"/>
      <c r="J290" s="64"/>
      <c r="K290" s="64"/>
    </row>
    <row r="291" spans="1:11" ht="46.8">
      <c r="A291" s="22" t="s">
        <v>274</v>
      </c>
      <c r="B291" s="83" t="s">
        <v>32</v>
      </c>
      <c r="C291" s="83" t="s">
        <v>19</v>
      </c>
      <c r="D291" s="83" t="s">
        <v>62</v>
      </c>
      <c r="E291" s="84">
        <v>0</v>
      </c>
      <c r="F291" s="83" t="s">
        <v>15</v>
      </c>
      <c r="G291" s="83" t="s">
        <v>16</v>
      </c>
      <c r="H291" s="84"/>
      <c r="I291" s="64">
        <f>I292</f>
        <v>131046.35000000009</v>
      </c>
      <c r="J291" s="64">
        <f t="shared" ref="J291:K291" si="128">J292</f>
        <v>131046.35</v>
      </c>
      <c r="K291" s="64">
        <f t="shared" si="128"/>
        <v>131046.34</v>
      </c>
    </row>
    <row r="292" spans="1:11" ht="31.2">
      <c r="A292" s="22" t="s">
        <v>275</v>
      </c>
      <c r="B292" s="83" t="s">
        <v>32</v>
      </c>
      <c r="C292" s="83" t="s">
        <v>19</v>
      </c>
      <c r="D292" s="83" t="s">
        <v>62</v>
      </c>
      <c r="E292" s="84">
        <v>1</v>
      </c>
      <c r="F292" s="83" t="s">
        <v>15</v>
      </c>
      <c r="G292" s="83" t="s">
        <v>16</v>
      </c>
      <c r="H292" s="84"/>
      <c r="I292" s="64">
        <f>I293+I296+I299</f>
        <v>131046.35000000009</v>
      </c>
      <c r="J292" s="64">
        <f t="shared" ref="J292:K292" si="129">J293+J296+J299</f>
        <v>131046.35</v>
      </c>
      <c r="K292" s="64">
        <f t="shared" si="129"/>
        <v>131046.34</v>
      </c>
    </row>
    <row r="293" spans="1:11" hidden="1">
      <c r="A293" s="22" t="s">
        <v>276</v>
      </c>
      <c r="B293" s="83" t="s">
        <v>32</v>
      </c>
      <c r="C293" s="83" t="s">
        <v>19</v>
      </c>
      <c r="D293" s="83" t="s">
        <v>62</v>
      </c>
      <c r="E293" s="84">
        <v>1</v>
      </c>
      <c r="F293" s="83" t="s">
        <v>12</v>
      </c>
      <c r="G293" s="83" t="s">
        <v>16</v>
      </c>
      <c r="H293" s="84"/>
      <c r="I293" s="64">
        <f>I294</f>
        <v>0</v>
      </c>
      <c r="J293" s="64">
        <f t="shared" ref="J293:K294" si="130">J294</f>
        <v>0</v>
      </c>
      <c r="K293" s="64">
        <f t="shared" si="130"/>
        <v>0</v>
      </c>
    </row>
    <row r="294" spans="1:11" ht="78" hidden="1">
      <c r="A294" s="22" t="s">
        <v>277</v>
      </c>
      <c r="B294" s="83" t="s">
        <v>32</v>
      </c>
      <c r="C294" s="83" t="s">
        <v>19</v>
      </c>
      <c r="D294" s="83" t="s">
        <v>62</v>
      </c>
      <c r="E294" s="84">
        <v>1</v>
      </c>
      <c r="F294" s="83" t="s">
        <v>12</v>
      </c>
      <c r="G294" s="83" t="s">
        <v>278</v>
      </c>
      <c r="H294" s="84"/>
      <c r="I294" s="64">
        <f>I295</f>
        <v>0</v>
      </c>
      <c r="J294" s="64">
        <f t="shared" si="130"/>
        <v>0</v>
      </c>
      <c r="K294" s="64">
        <f t="shared" si="130"/>
        <v>0</v>
      </c>
    </row>
    <row r="295" spans="1:11" ht="31.2" hidden="1">
      <c r="A295" s="22" t="s">
        <v>22</v>
      </c>
      <c r="B295" s="83" t="s">
        <v>32</v>
      </c>
      <c r="C295" s="83" t="s">
        <v>19</v>
      </c>
      <c r="D295" s="83" t="s">
        <v>62</v>
      </c>
      <c r="E295" s="84">
        <v>1</v>
      </c>
      <c r="F295" s="83" t="s">
        <v>12</v>
      </c>
      <c r="G295" s="83" t="s">
        <v>278</v>
      </c>
      <c r="H295" s="84">
        <v>240</v>
      </c>
      <c r="I295" s="64"/>
      <c r="J295" s="64"/>
      <c r="K295" s="64"/>
    </row>
    <row r="296" spans="1:11" hidden="1">
      <c r="A296" s="22" t="s">
        <v>279</v>
      </c>
      <c r="B296" s="83" t="s">
        <v>32</v>
      </c>
      <c r="C296" s="83" t="s">
        <v>19</v>
      </c>
      <c r="D296" s="83" t="s">
        <v>62</v>
      </c>
      <c r="E296" s="84">
        <v>1</v>
      </c>
      <c r="F296" s="83" t="s">
        <v>13</v>
      </c>
      <c r="G296" s="83" t="s">
        <v>16</v>
      </c>
      <c r="H296" s="84"/>
      <c r="I296" s="64">
        <f>I297</f>
        <v>0</v>
      </c>
      <c r="J296" s="64">
        <f t="shared" ref="J296:K297" si="131">J297</f>
        <v>0</v>
      </c>
      <c r="K296" s="64">
        <f t="shared" si="131"/>
        <v>0</v>
      </c>
    </row>
    <row r="297" spans="1:11" ht="78" hidden="1">
      <c r="A297" s="22" t="s">
        <v>277</v>
      </c>
      <c r="B297" s="83" t="s">
        <v>32</v>
      </c>
      <c r="C297" s="83" t="s">
        <v>19</v>
      </c>
      <c r="D297" s="83" t="s">
        <v>62</v>
      </c>
      <c r="E297" s="84">
        <v>1</v>
      </c>
      <c r="F297" s="83" t="s">
        <v>13</v>
      </c>
      <c r="G297" s="83" t="s">
        <v>278</v>
      </c>
      <c r="H297" s="84"/>
      <c r="I297" s="64">
        <f>I298</f>
        <v>0</v>
      </c>
      <c r="J297" s="64">
        <f t="shared" si="131"/>
        <v>0</v>
      </c>
      <c r="K297" s="64">
        <f t="shared" si="131"/>
        <v>0</v>
      </c>
    </row>
    <row r="298" spans="1:11" ht="31.2" hidden="1">
      <c r="A298" s="22" t="s">
        <v>22</v>
      </c>
      <c r="B298" s="83" t="s">
        <v>32</v>
      </c>
      <c r="C298" s="83" t="s">
        <v>19</v>
      </c>
      <c r="D298" s="83" t="s">
        <v>62</v>
      </c>
      <c r="E298" s="84">
        <v>1</v>
      </c>
      <c r="F298" s="83" t="s">
        <v>13</v>
      </c>
      <c r="G298" s="83" t="s">
        <v>278</v>
      </c>
      <c r="H298" s="84">
        <v>240</v>
      </c>
      <c r="I298" s="64"/>
      <c r="J298" s="64"/>
      <c r="K298" s="64"/>
    </row>
    <row r="299" spans="1:11" ht="78">
      <c r="A299" s="22" t="s">
        <v>280</v>
      </c>
      <c r="B299" s="83" t="s">
        <v>32</v>
      </c>
      <c r="C299" s="83" t="s">
        <v>19</v>
      </c>
      <c r="D299" s="83" t="s">
        <v>62</v>
      </c>
      <c r="E299" s="84">
        <v>1</v>
      </c>
      <c r="F299" s="83" t="s">
        <v>73</v>
      </c>
      <c r="G299" s="83" t="s">
        <v>16</v>
      </c>
      <c r="H299" s="84"/>
      <c r="I299" s="64">
        <f>I300</f>
        <v>131046.35000000009</v>
      </c>
      <c r="J299" s="64">
        <f t="shared" ref="J299:K300" si="132">J300</f>
        <v>131046.35</v>
      </c>
      <c r="K299" s="64">
        <f t="shared" si="132"/>
        <v>131046.34</v>
      </c>
    </row>
    <row r="300" spans="1:11" ht="78">
      <c r="A300" s="22" t="s">
        <v>277</v>
      </c>
      <c r="B300" s="83" t="s">
        <v>32</v>
      </c>
      <c r="C300" s="83" t="s">
        <v>19</v>
      </c>
      <c r="D300" s="83" t="s">
        <v>62</v>
      </c>
      <c r="E300" s="84">
        <v>1</v>
      </c>
      <c r="F300" s="83" t="s">
        <v>73</v>
      </c>
      <c r="G300" s="83" t="s">
        <v>74</v>
      </c>
      <c r="H300" s="84"/>
      <c r="I300" s="64">
        <f>I301</f>
        <v>131046.35000000009</v>
      </c>
      <c r="J300" s="64">
        <f t="shared" si="132"/>
        <v>131046.35</v>
      </c>
      <c r="K300" s="64">
        <f t="shared" si="132"/>
        <v>131046.34</v>
      </c>
    </row>
    <row r="301" spans="1:11">
      <c r="A301" s="28" t="s">
        <v>116</v>
      </c>
      <c r="B301" s="83" t="s">
        <v>32</v>
      </c>
      <c r="C301" s="83" t="s">
        <v>19</v>
      </c>
      <c r="D301" s="83" t="s">
        <v>62</v>
      </c>
      <c r="E301" s="84">
        <v>1</v>
      </c>
      <c r="F301" s="83" t="s">
        <v>73</v>
      </c>
      <c r="G301" s="83" t="s">
        <v>74</v>
      </c>
      <c r="H301" s="84">
        <v>540</v>
      </c>
      <c r="I301" s="64">
        <f>'Прил 6'!J298</f>
        <v>131046.35000000009</v>
      </c>
      <c r="J301" s="64">
        <f>'Прил 6'!K298</f>
        <v>131046.35</v>
      </c>
      <c r="K301" s="64">
        <f>'Прил 6'!L298</f>
        <v>131046.34</v>
      </c>
    </row>
    <row r="302" spans="1:11">
      <c r="A302" s="22" t="s">
        <v>27</v>
      </c>
      <c r="B302" s="83" t="s">
        <v>32</v>
      </c>
      <c r="C302" s="83" t="s">
        <v>19</v>
      </c>
      <c r="D302" s="83" t="s">
        <v>28</v>
      </c>
      <c r="E302" s="84">
        <v>0</v>
      </c>
      <c r="F302" s="83" t="s">
        <v>15</v>
      </c>
      <c r="G302" s="83" t="s">
        <v>16</v>
      </c>
      <c r="H302" s="84"/>
      <c r="I302" s="64">
        <f>I303</f>
        <v>98447.03</v>
      </c>
      <c r="J302" s="64">
        <f t="shared" ref="J302:K304" si="133">J303</f>
        <v>98447.03</v>
      </c>
      <c r="K302" s="64">
        <f t="shared" si="133"/>
        <v>98447.03</v>
      </c>
    </row>
    <row r="303" spans="1:11">
      <c r="A303" s="22" t="s">
        <v>174</v>
      </c>
      <c r="B303" s="83" t="s">
        <v>32</v>
      </c>
      <c r="C303" s="83" t="s">
        <v>19</v>
      </c>
      <c r="D303" s="83" t="s">
        <v>28</v>
      </c>
      <c r="E303" s="84">
        <v>9</v>
      </c>
      <c r="F303" s="83" t="s">
        <v>15</v>
      </c>
      <c r="G303" s="83" t="s">
        <v>16</v>
      </c>
      <c r="H303" s="84"/>
      <c r="I303" s="64">
        <f>I304</f>
        <v>98447.03</v>
      </c>
      <c r="J303" s="64">
        <f t="shared" si="133"/>
        <v>98447.03</v>
      </c>
      <c r="K303" s="64">
        <f t="shared" si="133"/>
        <v>98447.03</v>
      </c>
    </row>
    <row r="304" spans="1:11">
      <c r="A304" s="21" t="s">
        <v>294</v>
      </c>
      <c r="B304" s="83" t="s">
        <v>32</v>
      </c>
      <c r="C304" s="83" t="s">
        <v>19</v>
      </c>
      <c r="D304" s="83" t="s">
        <v>28</v>
      </c>
      <c r="E304" s="84">
        <v>9</v>
      </c>
      <c r="F304" s="83" t="s">
        <v>15</v>
      </c>
      <c r="G304" s="84">
        <v>29180</v>
      </c>
      <c r="H304" s="83"/>
      <c r="I304" s="64">
        <f>I305</f>
        <v>98447.03</v>
      </c>
      <c r="J304" s="64">
        <f t="shared" si="133"/>
        <v>98447.03</v>
      </c>
      <c r="K304" s="64">
        <f t="shared" si="133"/>
        <v>98447.03</v>
      </c>
    </row>
    <row r="305" spans="1:11">
      <c r="A305" s="22" t="s">
        <v>53</v>
      </c>
      <c r="B305" s="83" t="s">
        <v>32</v>
      </c>
      <c r="C305" s="83" t="s">
        <v>19</v>
      </c>
      <c r="D305" s="83" t="s">
        <v>28</v>
      </c>
      <c r="E305" s="84">
        <v>9</v>
      </c>
      <c r="F305" s="83" t="s">
        <v>15</v>
      </c>
      <c r="G305" s="84">
        <v>29180</v>
      </c>
      <c r="H305" s="83" t="s">
        <v>402</v>
      </c>
      <c r="I305" s="64">
        <f>'Прил 6'!J302</f>
        <v>98447.03</v>
      </c>
      <c r="J305" s="64">
        <f>'Прил 6'!K302</f>
        <v>98447.03</v>
      </c>
      <c r="K305" s="64">
        <f>'Прил 6'!L302</f>
        <v>98447.03</v>
      </c>
    </row>
    <row r="306" spans="1:11">
      <c r="A306" s="22" t="s">
        <v>281</v>
      </c>
      <c r="B306" s="83" t="s">
        <v>32</v>
      </c>
      <c r="C306" s="83" t="s">
        <v>32</v>
      </c>
      <c r="D306" s="83" t="s">
        <v>15</v>
      </c>
      <c r="E306" s="84">
        <v>0</v>
      </c>
      <c r="F306" s="83" t="s">
        <v>15</v>
      </c>
      <c r="G306" s="83" t="s">
        <v>16</v>
      </c>
      <c r="H306" s="84"/>
      <c r="I306" s="64">
        <f>I307+I313</f>
        <v>19429905.969999999</v>
      </c>
      <c r="J306" s="64">
        <f t="shared" ref="J306:K306" si="134">J307+J313</f>
        <v>19429905.969999999</v>
      </c>
      <c r="K306" s="64">
        <f t="shared" si="134"/>
        <v>17821254.340000004</v>
      </c>
    </row>
    <row r="307" spans="1:11" ht="46.8">
      <c r="A307" s="21" t="s">
        <v>209</v>
      </c>
      <c r="B307" s="83" t="s">
        <v>32</v>
      </c>
      <c r="C307" s="83" t="s">
        <v>32</v>
      </c>
      <c r="D307" s="83" t="s">
        <v>19</v>
      </c>
      <c r="E307" s="84">
        <v>0</v>
      </c>
      <c r="F307" s="83" t="s">
        <v>15</v>
      </c>
      <c r="G307" s="83" t="s">
        <v>16</v>
      </c>
      <c r="H307" s="84"/>
      <c r="I307" s="64">
        <f>I308</f>
        <v>18871735.969999999</v>
      </c>
      <c r="J307" s="64">
        <f t="shared" ref="J307:K308" si="135">J308</f>
        <v>18871735.969999999</v>
      </c>
      <c r="K307" s="64">
        <f t="shared" si="135"/>
        <v>17285909.340000004</v>
      </c>
    </row>
    <row r="308" spans="1:11">
      <c r="A308" s="22" t="s">
        <v>282</v>
      </c>
      <c r="B308" s="83" t="s">
        <v>32</v>
      </c>
      <c r="C308" s="83" t="s">
        <v>32</v>
      </c>
      <c r="D308" s="83" t="s">
        <v>19</v>
      </c>
      <c r="E308" s="84">
        <v>4</v>
      </c>
      <c r="F308" s="83" t="s">
        <v>15</v>
      </c>
      <c r="G308" s="83" t="s">
        <v>16</v>
      </c>
      <c r="H308" s="84"/>
      <c r="I308" s="64">
        <f>I309</f>
        <v>18871735.969999999</v>
      </c>
      <c r="J308" s="64">
        <f t="shared" si="135"/>
        <v>18871735.969999999</v>
      </c>
      <c r="K308" s="64">
        <f t="shared" si="135"/>
        <v>17285909.340000004</v>
      </c>
    </row>
    <row r="309" spans="1:11" ht="31.2">
      <c r="A309" s="22" t="s">
        <v>283</v>
      </c>
      <c r="B309" s="83" t="s">
        <v>32</v>
      </c>
      <c r="C309" s="83" t="s">
        <v>32</v>
      </c>
      <c r="D309" s="83" t="s">
        <v>19</v>
      </c>
      <c r="E309" s="84">
        <v>4</v>
      </c>
      <c r="F309" s="83" t="s">
        <v>15</v>
      </c>
      <c r="G309" s="83" t="s">
        <v>284</v>
      </c>
      <c r="H309" s="84"/>
      <c r="I309" s="64">
        <f>SUM(I310:I312)</f>
        <v>18871735.969999999</v>
      </c>
      <c r="J309" s="64">
        <f t="shared" ref="J309:K309" si="136">SUM(J310:J312)</f>
        <v>18871735.969999999</v>
      </c>
      <c r="K309" s="64">
        <f t="shared" si="136"/>
        <v>17285909.340000004</v>
      </c>
    </row>
    <row r="310" spans="1:11">
      <c r="A310" s="21" t="s">
        <v>285</v>
      </c>
      <c r="B310" s="83" t="s">
        <v>32</v>
      </c>
      <c r="C310" s="83" t="s">
        <v>32</v>
      </c>
      <c r="D310" s="83" t="s">
        <v>19</v>
      </c>
      <c r="E310" s="84">
        <v>4</v>
      </c>
      <c r="F310" s="83" t="s">
        <v>15</v>
      </c>
      <c r="G310" s="83" t="s">
        <v>284</v>
      </c>
      <c r="H310" s="84">
        <v>110</v>
      </c>
      <c r="I310" s="64">
        <f>'Прил 6'!J307</f>
        <v>15508793.15</v>
      </c>
      <c r="J310" s="64">
        <f>'Прил 6'!K307</f>
        <v>15508793.15</v>
      </c>
      <c r="K310" s="64">
        <f>'Прил 6'!L307</f>
        <v>14313306.100000001</v>
      </c>
    </row>
    <row r="311" spans="1:11" ht="31.2">
      <c r="A311" s="22" t="s">
        <v>22</v>
      </c>
      <c r="B311" s="83" t="s">
        <v>32</v>
      </c>
      <c r="C311" s="83" t="s">
        <v>32</v>
      </c>
      <c r="D311" s="83" t="s">
        <v>19</v>
      </c>
      <c r="E311" s="84">
        <v>4</v>
      </c>
      <c r="F311" s="83" t="s">
        <v>15</v>
      </c>
      <c r="G311" s="83" t="s">
        <v>284</v>
      </c>
      <c r="H311" s="84">
        <v>240</v>
      </c>
      <c r="I311" s="64">
        <f>'Прил 6'!J308</f>
        <v>3315942.82</v>
      </c>
      <c r="J311" s="64">
        <f>'Прил 6'!K308</f>
        <v>3315942.82</v>
      </c>
      <c r="K311" s="64">
        <f>'Прил 6'!L308</f>
        <v>2930911.24</v>
      </c>
    </row>
    <row r="312" spans="1:11">
      <c r="A312" s="21" t="s">
        <v>24</v>
      </c>
      <c r="B312" s="83" t="s">
        <v>32</v>
      </c>
      <c r="C312" s="83" t="s">
        <v>32</v>
      </c>
      <c r="D312" s="83" t="s">
        <v>19</v>
      </c>
      <c r="E312" s="84">
        <v>4</v>
      </c>
      <c r="F312" s="83" t="s">
        <v>15</v>
      </c>
      <c r="G312" s="83" t="s">
        <v>284</v>
      </c>
      <c r="H312" s="84">
        <v>850</v>
      </c>
      <c r="I312" s="64">
        <f>'Прил 6'!J309</f>
        <v>47000</v>
      </c>
      <c r="J312" s="64">
        <f>'Прил 6'!K309</f>
        <v>47000</v>
      </c>
      <c r="K312" s="64">
        <f>'Прил 6'!L309</f>
        <v>41692</v>
      </c>
    </row>
    <row r="313" spans="1:11" ht="46.8">
      <c r="A313" s="21" t="s">
        <v>141</v>
      </c>
      <c r="B313" s="83" t="s">
        <v>32</v>
      </c>
      <c r="C313" s="83" t="s">
        <v>32</v>
      </c>
      <c r="D313" s="83" t="s">
        <v>36</v>
      </c>
      <c r="E313" s="84">
        <v>0</v>
      </c>
      <c r="F313" s="83" t="s">
        <v>15</v>
      </c>
      <c r="G313" s="83" t="s">
        <v>16</v>
      </c>
      <c r="H313" s="84"/>
      <c r="I313" s="64">
        <f>I314</f>
        <v>558170</v>
      </c>
      <c r="J313" s="64">
        <f t="shared" ref="J313:K313" si="137">J314</f>
        <v>558170</v>
      </c>
      <c r="K313" s="64">
        <f t="shared" si="137"/>
        <v>535345</v>
      </c>
    </row>
    <row r="314" spans="1:11">
      <c r="A314" s="21" t="s">
        <v>286</v>
      </c>
      <c r="B314" s="83" t="s">
        <v>32</v>
      </c>
      <c r="C314" s="83" t="s">
        <v>32</v>
      </c>
      <c r="D314" s="83" t="s">
        <v>36</v>
      </c>
      <c r="E314" s="84">
        <v>2</v>
      </c>
      <c r="F314" s="83" t="s">
        <v>15</v>
      </c>
      <c r="G314" s="83" t="s">
        <v>16</v>
      </c>
      <c r="H314" s="84"/>
      <c r="I314" s="64">
        <f>I315+I318+I321</f>
        <v>558170</v>
      </c>
      <c r="J314" s="64">
        <f t="shared" ref="J314:K314" si="138">J315+J318+J321</f>
        <v>558170</v>
      </c>
      <c r="K314" s="64">
        <f t="shared" si="138"/>
        <v>535345</v>
      </c>
    </row>
    <row r="315" spans="1:11">
      <c r="A315" s="21" t="s">
        <v>143</v>
      </c>
      <c r="B315" s="83" t="s">
        <v>32</v>
      </c>
      <c r="C315" s="83" t="s">
        <v>32</v>
      </c>
      <c r="D315" s="83" t="s">
        <v>36</v>
      </c>
      <c r="E315" s="84">
        <v>2</v>
      </c>
      <c r="F315" s="83" t="s">
        <v>12</v>
      </c>
      <c r="G315" s="83" t="s">
        <v>16</v>
      </c>
      <c r="H315" s="84"/>
      <c r="I315" s="64">
        <f>I316</f>
        <v>438000</v>
      </c>
      <c r="J315" s="64">
        <f t="shared" ref="J315:K316" si="139">J316</f>
        <v>438000</v>
      </c>
      <c r="K315" s="64">
        <f t="shared" si="139"/>
        <v>420175</v>
      </c>
    </row>
    <row r="316" spans="1:11" ht="31.2">
      <c r="A316" s="22" t="s">
        <v>144</v>
      </c>
      <c r="B316" s="83" t="s">
        <v>32</v>
      </c>
      <c r="C316" s="83" t="s">
        <v>32</v>
      </c>
      <c r="D316" s="83" t="s">
        <v>36</v>
      </c>
      <c r="E316" s="83" t="s">
        <v>20</v>
      </c>
      <c r="F316" s="83" t="s">
        <v>12</v>
      </c>
      <c r="G316" s="83" t="s">
        <v>145</v>
      </c>
      <c r="H316" s="83"/>
      <c r="I316" s="64">
        <f>I317</f>
        <v>438000</v>
      </c>
      <c r="J316" s="64">
        <f t="shared" si="139"/>
        <v>438000</v>
      </c>
      <c r="K316" s="64">
        <f t="shared" si="139"/>
        <v>420175</v>
      </c>
    </row>
    <row r="317" spans="1:11" ht="31.2">
      <c r="A317" s="22" t="s">
        <v>22</v>
      </c>
      <c r="B317" s="83" t="s">
        <v>32</v>
      </c>
      <c r="C317" s="83" t="s">
        <v>32</v>
      </c>
      <c r="D317" s="83" t="s">
        <v>36</v>
      </c>
      <c r="E317" s="83" t="s">
        <v>20</v>
      </c>
      <c r="F317" s="83" t="s">
        <v>12</v>
      </c>
      <c r="G317" s="83" t="s">
        <v>145</v>
      </c>
      <c r="H317" s="83" t="s">
        <v>23</v>
      </c>
      <c r="I317" s="64">
        <f>'Прил 6'!J314</f>
        <v>438000</v>
      </c>
      <c r="J317" s="64">
        <f>'Прил 6'!K314</f>
        <v>438000</v>
      </c>
      <c r="K317" s="64">
        <f>'Прил 6'!L314</f>
        <v>420175</v>
      </c>
    </row>
    <row r="318" spans="1:11">
      <c r="A318" s="21" t="s">
        <v>287</v>
      </c>
      <c r="B318" s="83" t="s">
        <v>32</v>
      </c>
      <c r="C318" s="83" t="s">
        <v>32</v>
      </c>
      <c r="D318" s="83" t="s">
        <v>36</v>
      </c>
      <c r="E318" s="84">
        <v>2</v>
      </c>
      <c r="F318" s="83" t="s">
        <v>13</v>
      </c>
      <c r="G318" s="83"/>
      <c r="H318" s="84"/>
      <c r="I318" s="64">
        <f>I319</f>
        <v>115170</v>
      </c>
      <c r="J318" s="64">
        <f t="shared" ref="J318:K319" si="140">J319</f>
        <v>115170</v>
      </c>
      <c r="K318" s="64">
        <f t="shared" si="140"/>
        <v>115170</v>
      </c>
    </row>
    <row r="319" spans="1:11" ht="31.2">
      <c r="A319" s="22" t="s">
        <v>144</v>
      </c>
      <c r="B319" s="83" t="s">
        <v>32</v>
      </c>
      <c r="C319" s="83" t="s">
        <v>32</v>
      </c>
      <c r="D319" s="83" t="s">
        <v>36</v>
      </c>
      <c r="E319" s="83" t="s">
        <v>20</v>
      </c>
      <c r="F319" s="83" t="s">
        <v>13</v>
      </c>
      <c r="G319" s="83" t="s">
        <v>145</v>
      </c>
      <c r="H319" s="83"/>
      <c r="I319" s="64">
        <f>I320</f>
        <v>115170</v>
      </c>
      <c r="J319" s="64">
        <f t="shared" si="140"/>
        <v>115170</v>
      </c>
      <c r="K319" s="64">
        <f t="shared" si="140"/>
        <v>115170</v>
      </c>
    </row>
    <row r="320" spans="1:11" ht="31.2">
      <c r="A320" s="22" t="s">
        <v>22</v>
      </c>
      <c r="B320" s="83" t="s">
        <v>32</v>
      </c>
      <c r="C320" s="83" t="s">
        <v>32</v>
      </c>
      <c r="D320" s="83" t="s">
        <v>36</v>
      </c>
      <c r="E320" s="83" t="s">
        <v>20</v>
      </c>
      <c r="F320" s="83" t="s">
        <v>13</v>
      </c>
      <c r="G320" s="83" t="s">
        <v>145</v>
      </c>
      <c r="H320" s="83" t="s">
        <v>23</v>
      </c>
      <c r="I320" s="64">
        <f>'Прил 6'!J317</f>
        <v>115170</v>
      </c>
      <c r="J320" s="64">
        <f>'Прил 6'!K317</f>
        <v>115170</v>
      </c>
      <c r="K320" s="64">
        <f>'Прил 6'!L317</f>
        <v>115170</v>
      </c>
    </row>
    <row r="321" spans="1:11">
      <c r="A321" s="21" t="s">
        <v>150</v>
      </c>
      <c r="B321" s="83" t="s">
        <v>32</v>
      </c>
      <c r="C321" s="83" t="s">
        <v>32</v>
      </c>
      <c r="D321" s="83" t="s">
        <v>36</v>
      </c>
      <c r="E321" s="83" t="s">
        <v>20</v>
      </c>
      <c r="F321" s="83" t="s">
        <v>19</v>
      </c>
      <c r="G321" s="83" t="s">
        <v>16</v>
      </c>
      <c r="H321" s="83"/>
      <c r="I321" s="64">
        <f>I322</f>
        <v>5000</v>
      </c>
      <c r="J321" s="64">
        <f t="shared" ref="J321:K322" si="141">J322</f>
        <v>5000</v>
      </c>
      <c r="K321" s="64">
        <f t="shared" si="141"/>
        <v>0</v>
      </c>
    </row>
    <row r="322" spans="1:11" ht="31.2">
      <c r="A322" s="22" t="s">
        <v>144</v>
      </c>
      <c r="B322" s="83" t="s">
        <v>32</v>
      </c>
      <c r="C322" s="83" t="s">
        <v>32</v>
      </c>
      <c r="D322" s="83" t="s">
        <v>36</v>
      </c>
      <c r="E322" s="83" t="s">
        <v>20</v>
      </c>
      <c r="F322" s="83" t="s">
        <v>19</v>
      </c>
      <c r="G322" s="83" t="s">
        <v>145</v>
      </c>
      <c r="H322" s="83"/>
      <c r="I322" s="64">
        <f>I323</f>
        <v>5000</v>
      </c>
      <c r="J322" s="64">
        <f t="shared" si="141"/>
        <v>5000</v>
      </c>
      <c r="K322" s="64">
        <f t="shared" si="141"/>
        <v>0</v>
      </c>
    </row>
    <row r="323" spans="1:11" ht="31.2">
      <c r="A323" s="22" t="s">
        <v>22</v>
      </c>
      <c r="B323" s="83" t="s">
        <v>32</v>
      </c>
      <c r="C323" s="83" t="s">
        <v>32</v>
      </c>
      <c r="D323" s="83" t="s">
        <v>36</v>
      </c>
      <c r="E323" s="83" t="s">
        <v>20</v>
      </c>
      <c r="F323" s="83" t="s">
        <v>19</v>
      </c>
      <c r="G323" s="83" t="s">
        <v>145</v>
      </c>
      <c r="H323" s="83" t="s">
        <v>23</v>
      </c>
      <c r="I323" s="64">
        <f>'Прил 6'!J320</f>
        <v>5000</v>
      </c>
      <c r="J323" s="64">
        <f>'Прил 6'!K320</f>
        <v>5000</v>
      </c>
      <c r="K323" s="64">
        <f>'Прил 6'!L320</f>
        <v>0</v>
      </c>
    </row>
    <row r="324" spans="1:11" hidden="1">
      <c r="A324" s="22" t="s">
        <v>75</v>
      </c>
      <c r="B324" s="83" t="s">
        <v>34</v>
      </c>
      <c r="C324" s="83"/>
      <c r="D324" s="83"/>
      <c r="E324" s="83"/>
      <c r="F324" s="83"/>
      <c r="G324" s="83"/>
      <c r="H324" s="83"/>
      <c r="I324" s="64">
        <f>I325</f>
        <v>0</v>
      </c>
      <c r="J324" s="64">
        <f t="shared" ref="J324:K328" si="142">J325</f>
        <v>0</v>
      </c>
      <c r="K324" s="64">
        <f t="shared" si="142"/>
        <v>0</v>
      </c>
    </row>
    <row r="325" spans="1:11" hidden="1">
      <c r="A325" s="22" t="s">
        <v>76</v>
      </c>
      <c r="B325" s="83" t="s">
        <v>34</v>
      </c>
      <c r="C325" s="83" t="s">
        <v>32</v>
      </c>
      <c r="D325" s="83"/>
      <c r="E325" s="83"/>
      <c r="F325" s="83"/>
      <c r="G325" s="83"/>
      <c r="H325" s="83"/>
      <c r="I325" s="64">
        <f>I326</f>
        <v>0</v>
      </c>
      <c r="J325" s="64">
        <f t="shared" si="142"/>
        <v>0</v>
      </c>
      <c r="K325" s="64">
        <f t="shared" si="142"/>
        <v>0</v>
      </c>
    </row>
    <row r="326" spans="1:11" hidden="1">
      <c r="A326" s="22" t="s">
        <v>27</v>
      </c>
      <c r="B326" s="83" t="s">
        <v>34</v>
      </c>
      <c r="C326" s="83" t="s">
        <v>32</v>
      </c>
      <c r="D326" s="83" t="s">
        <v>28</v>
      </c>
      <c r="E326" s="84">
        <v>0</v>
      </c>
      <c r="F326" s="83" t="s">
        <v>14</v>
      </c>
      <c r="G326" s="83" t="s">
        <v>16</v>
      </c>
      <c r="H326" s="83"/>
      <c r="I326" s="64">
        <f>I327</f>
        <v>0</v>
      </c>
      <c r="J326" s="64">
        <f t="shared" si="142"/>
        <v>0</v>
      </c>
      <c r="K326" s="64">
        <f t="shared" si="142"/>
        <v>0</v>
      </c>
    </row>
    <row r="327" spans="1:11" hidden="1">
      <c r="A327" s="22" t="s">
        <v>174</v>
      </c>
      <c r="B327" s="83" t="s">
        <v>34</v>
      </c>
      <c r="C327" s="83" t="s">
        <v>32</v>
      </c>
      <c r="D327" s="83" t="s">
        <v>28</v>
      </c>
      <c r="E327" s="84">
        <v>9</v>
      </c>
      <c r="F327" s="83" t="s">
        <v>14</v>
      </c>
      <c r="G327" s="83" t="s">
        <v>16</v>
      </c>
      <c r="H327" s="83"/>
      <c r="I327" s="64">
        <f>I328</f>
        <v>0</v>
      </c>
      <c r="J327" s="64">
        <f t="shared" si="142"/>
        <v>0</v>
      </c>
      <c r="K327" s="64">
        <f t="shared" si="142"/>
        <v>0</v>
      </c>
    </row>
    <row r="328" spans="1:11" ht="31.2" hidden="1">
      <c r="A328" s="22" t="s">
        <v>272</v>
      </c>
      <c r="B328" s="83" t="s">
        <v>34</v>
      </c>
      <c r="C328" s="83" t="s">
        <v>32</v>
      </c>
      <c r="D328" s="83" t="s">
        <v>28</v>
      </c>
      <c r="E328" s="83" t="s">
        <v>29</v>
      </c>
      <c r="F328" s="83" t="s">
        <v>14</v>
      </c>
      <c r="G328" s="83" t="s">
        <v>273</v>
      </c>
      <c r="H328" s="83"/>
      <c r="I328" s="64">
        <f>I329</f>
        <v>0</v>
      </c>
      <c r="J328" s="64">
        <f t="shared" si="142"/>
        <v>0</v>
      </c>
      <c r="K328" s="64">
        <f t="shared" si="142"/>
        <v>0</v>
      </c>
    </row>
    <row r="329" spans="1:11" ht="31.2" hidden="1">
      <c r="A329" s="22" t="s">
        <v>22</v>
      </c>
      <c r="B329" s="83" t="s">
        <v>34</v>
      </c>
      <c r="C329" s="83" t="s">
        <v>32</v>
      </c>
      <c r="D329" s="83" t="s">
        <v>28</v>
      </c>
      <c r="E329" s="83" t="s">
        <v>29</v>
      </c>
      <c r="F329" s="83" t="s">
        <v>14</v>
      </c>
      <c r="G329" s="83" t="s">
        <v>273</v>
      </c>
      <c r="H329" s="83" t="s">
        <v>23</v>
      </c>
      <c r="I329" s="64"/>
      <c r="J329" s="64"/>
      <c r="K329" s="64"/>
    </row>
    <row r="330" spans="1:11">
      <c r="A330" s="29" t="s">
        <v>77</v>
      </c>
      <c r="B330" s="83" t="s">
        <v>36</v>
      </c>
      <c r="C330" s="83"/>
      <c r="D330" s="83"/>
      <c r="E330" s="84"/>
      <c r="F330" s="83"/>
      <c r="G330" s="83"/>
      <c r="H330" s="84"/>
      <c r="I330" s="63">
        <f>I331+I335</f>
        <v>2529309.2000000002</v>
      </c>
      <c r="J330" s="63">
        <f t="shared" ref="J330:K330" si="143">J331+J335</f>
        <v>2529309.2000000002</v>
      </c>
      <c r="K330" s="63">
        <f t="shared" si="143"/>
        <v>2516309.2000000002</v>
      </c>
    </row>
    <row r="331" spans="1:11">
      <c r="A331" s="30" t="s">
        <v>78</v>
      </c>
      <c r="B331" s="83" t="s">
        <v>36</v>
      </c>
      <c r="C331" s="83" t="s">
        <v>32</v>
      </c>
      <c r="D331" s="83"/>
      <c r="E331" s="84"/>
      <c r="F331" s="83"/>
      <c r="G331" s="83"/>
      <c r="H331" s="84"/>
      <c r="I331" s="64">
        <f>I332</f>
        <v>23590</v>
      </c>
      <c r="J331" s="64">
        <f t="shared" ref="J331:K333" si="144">J332</f>
        <v>23590</v>
      </c>
      <c r="K331" s="64">
        <f t="shared" si="144"/>
        <v>10590</v>
      </c>
    </row>
    <row r="332" spans="1:11" ht="78">
      <c r="A332" s="21" t="s">
        <v>288</v>
      </c>
      <c r="B332" s="83" t="s">
        <v>36</v>
      </c>
      <c r="C332" s="83" t="s">
        <v>32</v>
      </c>
      <c r="D332" s="83" t="s">
        <v>50</v>
      </c>
      <c r="E332" s="84">
        <v>0</v>
      </c>
      <c r="F332" s="83" t="s">
        <v>15</v>
      </c>
      <c r="G332" s="83" t="s">
        <v>16</v>
      </c>
      <c r="H332" s="84"/>
      <c r="I332" s="64">
        <f>I333</f>
        <v>23590</v>
      </c>
      <c r="J332" s="64">
        <f t="shared" si="144"/>
        <v>23590</v>
      </c>
      <c r="K332" s="64">
        <f t="shared" si="144"/>
        <v>10590</v>
      </c>
    </row>
    <row r="333" spans="1:11">
      <c r="A333" s="22" t="s">
        <v>289</v>
      </c>
      <c r="B333" s="83" t="s">
        <v>36</v>
      </c>
      <c r="C333" s="83" t="s">
        <v>32</v>
      </c>
      <c r="D333" s="83" t="s">
        <v>50</v>
      </c>
      <c r="E333" s="84">
        <v>0</v>
      </c>
      <c r="F333" s="83" t="s">
        <v>15</v>
      </c>
      <c r="G333" s="83" t="s">
        <v>290</v>
      </c>
      <c r="H333" s="84"/>
      <c r="I333" s="64">
        <f>I334</f>
        <v>23590</v>
      </c>
      <c r="J333" s="64">
        <f t="shared" si="144"/>
        <v>23590</v>
      </c>
      <c r="K333" s="64">
        <f t="shared" si="144"/>
        <v>10590</v>
      </c>
    </row>
    <row r="334" spans="1:11" ht="31.2">
      <c r="A334" s="22" t="s">
        <v>22</v>
      </c>
      <c r="B334" s="83" t="s">
        <v>36</v>
      </c>
      <c r="C334" s="83" t="s">
        <v>32</v>
      </c>
      <c r="D334" s="83" t="s">
        <v>50</v>
      </c>
      <c r="E334" s="84">
        <v>0</v>
      </c>
      <c r="F334" s="83" t="s">
        <v>15</v>
      </c>
      <c r="G334" s="83" t="s">
        <v>290</v>
      </c>
      <c r="H334" s="84">
        <v>240</v>
      </c>
      <c r="I334" s="64">
        <f>'Прил 6'!J331</f>
        <v>23590</v>
      </c>
      <c r="J334" s="64">
        <f>'Прил 6'!K331</f>
        <v>23590</v>
      </c>
      <c r="K334" s="64">
        <f>'Прил 6'!L331</f>
        <v>10590</v>
      </c>
    </row>
    <row r="335" spans="1:11">
      <c r="A335" s="21" t="s">
        <v>79</v>
      </c>
      <c r="B335" s="83" t="s">
        <v>36</v>
      </c>
      <c r="C335" s="83" t="s">
        <v>36</v>
      </c>
      <c r="D335" s="83"/>
      <c r="E335" s="84"/>
      <c r="F335" s="83"/>
      <c r="G335" s="83"/>
      <c r="H335" s="84"/>
      <c r="I335" s="63">
        <f>I336</f>
        <v>2505719.2000000002</v>
      </c>
      <c r="J335" s="63">
        <f t="shared" ref="J335:K336" si="145">J336</f>
        <v>2505719.2000000002</v>
      </c>
      <c r="K335" s="63">
        <f t="shared" si="145"/>
        <v>2505719.2000000002</v>
      </c>
    </row>
    <row r="336" spans="1:11" ht="46.8">
      <c r="A336" s="22" t="s">
        <v>291</v>
      </c>
      <c r="B336" s="83" t="s">
        <v>36</v>
      </c>
      <c r="C336" s="83" t="s">
        <v>36</v>
      </c>
      <c r="D336" s="83" t="s">
        <v>34</v>
      </c>
      <c r="E336" s="84">
        <v>0</v>
      </c>
      <c r="F336" s="83" t="s">
        <v>15</v>
      </c>
      <c r="G336" s="83" t="s">
        <v>16</v>
      </c>
      <c r="H336" s="84"/>
      <c r="I336" s="63">
        <f>I337</f>
        <v>2505719.2000000002</v>
      </c>
      <c r="J336" s="63">
        <f t="shared" si="145"/>
        <v>2505719.2000000002</v>
      </c>
      <c r="K336" s="63">
        <f t="shared" si="145"/>
        <v>2505719.2000000002</v>
      </c>
    </row>
    <row r="337" spans="1:11">
      <c r="A337" s="21" t="s">
        <v>79</v>
      </c>
      <c r="B337" s="83" t="s">
        <v>36</v>
      </c>
      <c r="C337" s="83" t="s">
        <v>36</v>
      </c>
      <c r="D337" s="83" t="s">
        <v>34</v>
      </c>
      <c r="E337" s="84">
        <v>1</v>
      </c>
      <c r="F337" s="83" t="s">
        <v>15</v>
      </c>
      <c r="G337" s="83" t="s">
        <v>16</v>
      </c>
      <c r="H337" s="84"/>
      <c r="I337" s="63">
        <f>I338+I340</f>
        <v>2505719.2000000002</v>
      </c>
      <c r="J337" s="63">
        <f t="shared" ref="J337:K337" si="146">J338+J340</f>
        <v>2505719.2000000002</v>
      </c>
      <c r="K337" s="63">
        <f t="shared" si="146"/>
        <v>2505719.2000000002</v>
      </c>
    </row>
    <row r="338" spans="1:11">
      <c r="A338" s="21" t="s">
        <v>294</v>
      </c>
      <c r="B338" s="83" t="s">
        <v>36</v>
      </c>
      <c r="C338" s="83" t="s">
        <v>36</v>
      </c>
      <c r="D338" s="83" t="s">
        <v>34</v>
      </c>
      <c r="E338" s="84">
        <v>1</v>
      </c>
      <c r="F338" s="83" t="s">
        <v>15</v>
      </c>
      <c r="G338" s="83" t="s">
        <v>295</v>
      </c>
      <c r="H338" s="84"/>
      <c r="I338" s="63">
        <f>I339</f>
        <v>2406775</v>
      </c>
      <c r="J338" s="63">
        <f t="shared" ref="J338:K338" si="147">J339</f>
        <v>2406775</v>
      </c>
      <c r="K338" s="63">
        <f t="shared" si="147"/>
        <v>2406775</v>
      </c>
    </row>
    <row r="339" spans="1:11">
      <c r="A339" s="22" t="s">
        <v>53</v>
      </c>
      <c r="B339" s="83" t="s">
        <v>36</v>
      </c>
      <c r="C339" s="83" t="s">
        <v>36</v>
      </c>
      <c r="D339" s="83" t="s">
        <v>34</v>
      </c>
      <c r="E339" s="84">
        <v>1</v>
      </c>
      <c r="F339" s="83" t="s">
        <v>15</v>
      </c>
      <c r="G339" s="83" t="s">
        <v>295</v>
      </c>
      <c r="H339" s="84">
        <v>520</v>
      </c>
      <c r="I339" s="63">
        <f>'Прил 6'!J336</f>
        <v>2406775</v>
      </c>
      <c r="J339" s="63">
        <f>'Прил 6'!K336</f>
        <v>2406775</v>
      </c>
      <c r="K339" s="63">
        <f>'Прил 6'!L336</f>
        <v>2406775</v>
      </c>
    </row>
    <row r="340" spans="1:11">
      <c r="A340" s="21" t="s">
        <v>292</v>
      </c>
      <c r="B340" s="83" t="s">
        <v>36</v>
      </c>
      <c r="C340" s="83" t="s">
        <v>36</v>
      </c>
      <c r="D340" s="83" t="s">
        <v>34</v>
      </c>
      <c r="E340" s="84">
        <v>1</v>
      </c>
      <c r="F340" s="83" t="s">
        <v>15</v>
      </c>
      <c r="G340" s="83" t="s">
        <v>293</v>
      </c>
      <c r="H340" s="84"/>
      <c r="I340" s="63">
        <f>I341</f>
        <v>98944.200000000012</v>
      </c>
      <c r="J340" s="63">
        <f t="shared" ref="J340:K340" si="148">J341</f>
        <v>98944.2</v>
      </c>
      <c r="K340" s="63">
        <f t="shared" si="148"/>
        <v>98944.2</v>
      </c>
    </row>
    <row r="341" spans="1:11">
      <c r="A341" s="21" t="s">
        <v>285</v>
      </c>
      <c r="B341" s="83" t="s">
        <v>36</v>
      </c>
      <c r="C341" s="83" t="s">
        <v>36</v>
      </c>
      <c r="D341" s="83" t="s">
        <v>34</v>
      </c>
      <c r="E341" s="84">
        <v>1</v>
      </c>
      <c r="F341" s="83" t="s">
        <v>15</v>
      </c>
      <c r="G341" s="83" t="s">
        <v>293</v>
      </c>
      <c r="H341" s="84">
        <v>110</v>
      </c>
      <c r="I341" s="63">
        <f>'Прил 6'!J338</f>
        <v>98944.200000000012</v>
      </c>
      <c r="J341" s="63">
        <f>'Прил 6'!K338</f>
        <v>98944.2</v>
      </c>
      <c r="K341" s="63">
        <f>'Прил 6'!L338</f>
        <v>98944.2</v>
      </c>
    </row>
    <row r="342" spans="1:11">
      <c r="A342" s="29" t="s">
        <v>296</v>
      </c>
      <c r="B342" s="83" t="s">
        <v>64</v>
      </c>
      <c r="C342" s="83"/>
      <c r="D342" s="83"/>
      <c r="E342" s="84"/>
      <c r="F342" s="83"/>
      <c r="G342" s="83"/>
      <c r="H342" s="84"/>
      <c r="I342" s="63">
        <f>I343+I386</f>
        <v>38691733.999999993</v>
      </c>
      <c r="J342" s="63">
        <f>J343+J386</f>
        <v>39241585.68999999</v>
      </c>
      <c r="K342" s="63">
        <f>K343+K386</f>
        <v>30049062.470000003</v>
      </c>
    </row>
    <row r="343" spans="1:11">
      <c r="A343" s="21" t="s">
        <v>80</v>
      </c>
      <c r="B343" s="83" t="s">
        <v>64</v>
      </c>
      <c r="C343" s="84" t="s">
        <v>12</v>
      </c>
      <c r="D343" s="83" t="s">
        <v>93</v>
      </c>
      <c r="E343" s="84"/>
      <c r="F343" s="83"/>
      <c r="G343" s="83"/>
      <c r="H343" s="84" t="s">
        <v>94</v>
      </c>
      <c r="I343" s="63">
        <f>I374+I344+I362+I370</f>
        <v>38283512.339999996</v>
      </c>
      <c r="J343" s="63">
        <f>J374+J344+J362+J370</f>
        <v>38833364.029999994</v>
      </c>
      <c r="K343" s="63">
        <f>K374+K344+K362+K370</f>
        <v>29640840.810000002</v>
      </c>
    </row>
    <row r="344" spans="1:11" ht="46.8">
      <c r="A344" s="22" t="s">
        <v>291</v>
      </c>
      <c r="B344" s="83" t="s">
        <v>64</v>
      </c>
      <c r="C344" s="83" t="s">
        <v>12</v>
      </c>
      <c r="D344" s="83" t="s">
        <v>34</v>
      </c>
      <c r="E344" s="84">
        <v>0</v>
      </c>
      <c r="F344" s="83" t="s">
        <v>15</v>
      </c>
      <c r="G344" s="83" t="s">
        <v>16</v>
      </c>
      <c r="H344" s="84"/>
      <c r="I344" s="63">
        <f>I345+I357</f>
        <v>37007320.879999995</v>
      </c>
      <c r="J344" s="63">
        <f>J345+J357</f>
        <v>37007320.879999995</v>
      </c>
      <c r="K344" s="63">
        <f>K345+K357</f>
        <v>27819821.660000004</v>
      </c>
    </row>
    <row r="345" spans="1:11">
      <c r="A345" s="22" t="s">
        <v>297</v>
      </c>
      <c r="B345" s="83" t="s">
        <v>64</v>
      </c>
      <c r="C345" s="83" t="s">
        <v>12</v>
      </c>
      <c r="D345" s="83" t="s">
        <v>34</v>
      </c>
      <c r="E345" s="84">
        <v>2</v>
      </c>
      <c r="F345" s="83" t="s">
        <v>15</v>
      </c>
      <c r="G345" s="83" t="s">
        <v>16</v>
      </c>
      <c r="H345" s="84"/>
      <c r="I345" s="63">
        <f>I346+I352+I350+I354</f>
        <v>24572766.329999998</v>
      </c>
      <c r="J345" s="63">
        <f>J346+J352+J350+J354</f>
        <v>24572766.329999998</v>
      </c>
      <c r="K345" s="63">
        <f>K346+K352+K350+K354</f>
        <v>15907264.4</v>
      </c>
    </row>
    <row r="346" spans="1:11" ht="31.2">
      <c r="A346" s="22" t="s">
        <v>283</v>
      </c>
      <c r="B346" s="83" t="s">
        <v>64</v>
      </c>
      <c r="C346" s="83" t="s">
        <v>12</v>
      </c>
      <c r="D346" s="83" t="s">
        <v>34</v>
      </c>
      <c r="E346" s="84">
        <v>2</v>
      </c>
      <c r="F346" s="83" t="s">
        <v>15</v>
      </c>
      <c r="G346" s="83" t="s">
        <v>284</v>
      </c>
      <c r="H346" s="84"/>
      <c r="I346" s="63">
        <f>SUM(I347:I349)</f>
        <v>17587994.169999998</v>
      </c>
      <c r="J346" s="63">
        <f t="shared" ref="J346:K346" si="149">SUM(J347:J349)</f>
        <v>17587994.169999998</v>
      </c>
      <c r="K346" s="63">
        <f t="shared" si="149"/>
        <v>9346605.2400000021</v>
      </c>
    </row>
    <row r="347" spans="1:11">
      <c r="A347" s="21" t="s">
        <v>285</v>
      </c>
      <c r="B347" s="83" t="s">
        <v>64</v>
      </c>
      <c r="C347" s="83" t="s">
        <v>12</v>
      </c>
      <c r="D347" s="83" t="s">
        <v>34</v>
      </c>
      <c r="E347" s="84">
        <v>2</v>
      </c>
      <c r="F347" s="83" t="s">
        <v>15</v>
      </c>
      <c r="G347" s="83" t="s">
        <v>284</v>
      </c>
      <c r="H347" s="84">
        <v>110</v>
      </c>
      <c r="I347" s="63">
        <f>'Прил 6'!J344</f>
        <v>2643203.48</v>
      </c>
      <c r="J347" s="63">
        <f>'Прил 6'!K344</f>
        <v>2143756.2799999998</v>
      </c>
      <c r="K347" s="63">
        <f>'Прил 6'!L344</f>
        <v>1942617.72</v>
      </c>
    </row>
    <row r="348" spans="1:11" ht="31.2">
      <c r="A348" s="22" t="s">
        <v>22</v>
      </c>
      <c r="B348" s="83" t="s">
        <v>64</v>
      </c>
      <c r="C348" s="83" t="s">
        <v>12</v>
      </c>
      <c r="D348" s="83" t="s">
        <v>34</v>
      </c>
      <c r="E348" s="84">
        <v>2</v>
      </c>
      <c r="F348" s="83" t="s">
        <v>15</v>
      </c>
      <c r="G348" s="83" t="s">
        <v>284</v>
      </c>
      <c r="H348" s="84">
        <v>240</v>
      </c>
      <c r="I348" s="63">
        <f>'Прил 6'!J345</f>
        <v>14942754.310000001</v>
      </c>
      <c r="J348" s="63">
        <f>'Прил 6'!K345</f>
        <v>15442201.509999998</v>
      </c>
      <c r="K348" s="63">
        <f>'Прил 6'!L345</f>
        <v>7401951.1400000006</v>
      </c>
    </row>
    <row r="349" spans="1:11">
      <c r="A349" s="21" t="s">
        <v>24</v>
      </c>
      <c r="B349" s="83" t="s">
        <v>64</v>
      </c>
      <c r="C349" s="83" t="s">
        <v>12</v>
      </c>
      <c r="D349" s="83" t="s">
        <v>34</v>
      </c>
      <c r="E349" s="84">
        <v>2</v>
      </c>
      <c r="F349" s="83" t="s">
        <v>15</v>
      </c>
      <c r="G349" s="83" t="s">
        <v>284</v>
      </c>
      <c r="H349" s="84">
        <v>850</v>
      </c>
      <c r="I349" s="63">
        <f>'Прил 6'!J346</f>
        <v>2036.380000000001</v>
      </c>
      <c r="J349" s="63">
        <f>'Прил 6'!K346</f>
        <v>2036.38</v>
      </c>
      <c r="K349" s="63">
        <f>'Прил 6'!L346</f>
        <v>2036.38</v>
      </c>
    </row>
    <row r="350" spans="1:11" ht="31.2">
      <c r="A350" s="22" t="s">
        <v>300</v>
      </c>
      <c r="B350" s="83" t="s">
        <v>64</v>
      </c>
      <c r="C350" s="83" t="s">
        <v>12</v>
      </c>
      <c r="D350" s="83" t="s">
        <v>34</v>
      </c>
      <c r="E350" s="83" t="s">
        <v>20</v>
      </c>
      <c r="F350" s="83" t="s">
        <v>15</v>
      </c>
      <c r="G350" s="83" t="s">
        <v>301</v>
      </c>
      <c r="H350" s="83"/>
      <c r="I350" s="64">
        <f>I351</f>
        <v>297715.83</v>
      </c>
      <c r="J350" s="64">
        <f t="shared" ref="J350:K350" si="150">J351</f>
        <v>297715.83</v>
      </c>
      <c r="K350" s="64">
        <f t="shared" si="150"/>
        <v>230509.37</v>
      </c>
    </row>
    <row r="351" spans="1:11" ht="31.2">
      <c r="A351" s="22" t="s">
        <v>22</v>
      </c>
      <c r="B351" s="83" t="s">
        <v>64</v>
      </c>
      <c r="C351" s="83" t="s">
        <v>12</v>
      </c>
      <c r="D351" s="83" t="s">
        <v>34</v>
      </c>
      <c r="E351" s="83" t="s">
        <v>20</v>
      </c>
      <c r="F351" s="83" t="s">
        <v>15</v>
      </c>
      <c r="G351" s="83" t="s">
        <v>301</v>
      </c>
      <c r="H351" s="83" t="s">
        <v>23</v>
      </c>
      <c r="I351" s="64">
        <f>'Прил 6'!J348</f>
        <v>297715.83</v>
      </c>
      <c r="J351" s="64">
        <f>'Прил 6'!K348</f>
        <v>297715.83</v>
      </c>
      <c r="K351" s="64">
        <f>'Прил 6'!L348</f>
        <v>230509.37</v>
      </c>
    </row>
    <row r="352" spans="1:11" ht="31.2">
      <c r="A352" s="22" t="s">
        <v>298</v>
      </c>
      <c r="B352" s="83" t="s">
        <v>64</v>
      </c>
      <c r="C352" s="83" t="s">
        <v>12</v>
      </c>
      <c r="D352" s="83" t="s">
        <v>34</v>
      </c>
      <c r="E352" s="83" t="s">
        <v>20</v>
      </c>
      <c r="F352" s="83" t="s">
        <v>15</v>
      </c>
      <c r="G352" s="83" t="s">
        <v>299</v>
      </c>
      <c r="H352" s="83"/>
      <c r="I352" s="64">
        <f>I353</f>
        <v>1687056.33</v>
      </c>
      <c r="J352" s="64">
        <f t="shared" ref="J352:K352" si="151">J353</f>
        <v>1687056.33</v>
      </c>
      <c r="K352" s="64">
        <f t="shared" si="151"/>
        <v>1330149.79</v>
      </c>
    </row>
    <row r="353" spans="1:11" ht="31.2">
      <c r="A353" s="22" t="s">
        <v>22</v>
      </c>
      <c r="B353" s="83" t="s">
        <v>64</v>
      </c>
      <c r="C353" s="83" t="s">
        <v>12</v>
      </c>
      <c r="D353" s="83" t="s">
        <v>34</v>
      </c>
      <c r="E353" s="83" t="s">
        <v>20</v>
      </c>
      <c r="F353" s="83" t="s">
        <v>15</v>
      </c>
      <c r="G353" s="83" t="s">
        <v>299</v>
      </c>
      <c r="H353" s="83" t="s">
        <v>23</v>
      </c>
      <c r="I353" s="64">
        <f>'Прил 6'!J350</f>
        <v>1687056.33</v>
      </c>
      <c r="J353" s="64">
        <f>'Прил 6'!K350</f>
        <v>1687056.33</v>
      </c>
      <c r="K353" s="64">
        <f>'Прил 6'!L350</f>
        <v>1330149.79</v>
      </c>
    </row>
    <row r="354" spans="1:11">
      <c r="A354" s="22" t="s">
        <v>397</v>
      </c>
      <c r="B354" s="83" t="s">
        <v>64</v>
      </c>
      <c r="C354" s="83" t="s">
        <v>12</v>
      </c>
      <c r="D354" s="83" t="s">
        <v>34</v>
      </c>
      <c r="E354" s="83" t="s">
        <v>20</v>
      </c>
      <c r="F354" s="83" t="s">
        <v>392</v>
      </c>
      <c r="G354" s="83" t="s">
        <v>16</v>
      </c>
      <c r="H354" s="83"/>
      <c r="I354" s="64">
        <f>I355</f>
        <v>5000000</v>
      </c>
      <c r="J354" s="64">
        <f t="shared" ref="J354:K355" si="152">J355</f>
        <v>5000000</v>
      </c>
      <c r="K354" s="64">
        <f t="shared" si="152"/>
        <v>5000000</v>
      </c>
    </row>
    <row r="355" spans="1:11">
      <c r="A355" s="22" t="s">
        <v>398</v>
      </c>
      <c r="B355" s="83" t="s">
        <v>64</v>
      </c>
      <c r="C355" s="83" t="s">
        <v>12</v>
      </c>
      <c r="D355" s="83" t="s">
        <v>34</v>
      </c>
      <c r="E355" s="83" t="s">
        <v>20</v>
      </c>
      <c r="F355" s="83" t="s">
        <v>392</v>
      </c>
      <c r="G355" s="83" t="s">
        <v>393</v>
      </c>
      <c r="H355" s="83"/>
      <c r="I355" s="64">
        <f>I356</f>
        <v>5000000</v>
      </c>
      <c r="J355" s="64">
        <f t="shared" si="152"/>
        <v>5000000</v>
      </c>
      <c r="K355" s="64">
        <f t="shared" si="152"/>
        <v>5000000</v>
      </c>
    </row>
    <row r="356" spans="1:11" ht="31.2">
      <c r="A356" s="22" t="s">
        <v>22</v>
      </c>
      <c r="B356" s="83" t="s">
        <v>64</v>
      </c>
      <c r="C356" s="83" t="s">
        <v>12</v>
      </c>
      <c r="D356" s="83" t="s">
        <v>34</v>
      </c>
      <c r="E356" s="83" t="s">
        <v>20</v>
      </c>
      <c r="F356" s="83" t="s">
        <v>392</v>
      </c>
      <c r="G356" s="83" t="s">
        <v>393</v>
      </c>
      <c r="H356" s="83" t="s">
        <v>23</v>
      </c>
      <c r="I356" s="64">
        <f>'Прил 6'!J353</f>
        <v>5000000</v>
      </c>
      <c r="J356" s="64">
        <f>'Прил 6'!K353</f>
        <v>5000000</v>
      </c>
      <c r="K356" s="64">
        <f>'Прил 6'!L353</f>
        <v>5000000</v>
      </c>
    </row>
    <row r="357" spans="1:11">
      <c r="A357" s="22" t="s">
        <v>302</v>
      </c>
      <c r="B357" s="83" t="s">
        <v>64</v>
      </c>
      <c r="C357" s="83" t="s">
        <v>12</v>
      </c>
      <c r="D357" s="83" t="s">
        <v>34</v>
      </c>
      <c r="E357" s="84">
        <v>5</v>
      </c>
      <c r="F357" s="83" t="s">
        <v>15</v>
      </c>
      <c r="G357" s="83" t="s">
        <v>16</v>
      </c>
      <c r="H357" s="84"/>
      <c r="I357" s="63">
        <f>I358+I360</f>
        <v>12434554.550000001</v>
      </c>
      <c r="J357" s="63">
        <f t="shared" ref="J357:K357" si="153">J358+J360</f>
        <v>12434554.550000001</v>
      </c>
      <c r="K357" s="63">
        <f t="shared" si="153"/>
        <v>11912557.260000002</v>
      </c>
    </row>
    <row r="358" spans="1:11" ht="31.2">
      <c r="A358" s="22" t="s">
        <v>283</v>
      </c>
      <c r="B358" s="83" t="s">
        <v>64</v>
      </c>
      <c r="C358" s="83" t="s">
        <v>12</v>
      </c>
      <c r="D358" s="83" t="s">
        <v>34</v>
      </c>
      <c r="E358" s="84">
        <v>5</v>
      </c>
      <c r="F358" s="83" t="s">
        <v>15</v>
      </c>
      <c r="G358" s="83" t="s">
        <v>284</v>
      </c>
      <c r="H358" s="84"/>
      <c r="I358" s="63">
        <f>I359</f>
        <v>12434554.550000001</v>
      </c>
      <c r="J358" s="63">
        <f t="shared" ref="J358:K358" si="154">J359</f>
        <v>12434554.550000001</v>
      </c>
      <c r="K358" s="63">
        <f t="shared" si="154"/>
        <v>11912557.260000002</v>
      </c>
    </row>
    <row r="359" spans="1:11">
      <c r="A359" s="21" t="s">
        <v>65</v>
      </c>
      <c r="B359" s="83" t="s">
        <v>64</v>
      </c>
      <c r="C359" s="83" t="s">
        <v>12</v>
      </c>
      <c r="D359" s="83" t="s">
        <v>34</v>
      </c>
      <c r="E359" s="84">
        <v>5</v>
      </c>
      <c r="F359" s="83" t="s">
        <v>15</v>
      </c>
      <c r="G359" s="83" t="s">
        <v>284</v>
      </c>
      <c r="H359" s="84">
        <v>620</v>
      </c>
      <c r="I359" s="63">
        <f>'Прил 6'!J356</f>
        <v>12434554.550000001</v>
      </c>
      <c r="J359" s="63">
        <f>'Прил 6'!K356</f>
        <v>12434554.550000001</v>
      </c>
      <c r="K359" s="63">
        <f>'Прил 6'!L356</f>
        <v>11912557.260000002</v>
      </c>
    </row>
    <row r="360" spans="1:11" ht="62.4" hidden="1">
      <c r="A360" s="21" t="s">
        <v>303</v>
      </c>
      <c r="B360" s="83" t="s">
        <v>64</v>
      </c>
      <c r="C360" s="83" t="s">
        <v>12</v>
      </c>
      <c r="D360" s="83" t="s">
        <v>34</v>
      </c>
      <c r="E360" s="84">
        <v>5</v>
      </c>
      <c r="F360" s="83" t="s">
        <v>15</v>
      </c>
      <c r="G360" s="83" t="s">
        <v>304</v>
      </c>
      <c r="H360" s="84"/>
      <c r="I360" s="63">
        <f>I361</f>
        <v>0</v>
      </c>
      <c r="J360" s="63">
        <f t="shared" ref="J360:K360" si="155">J361</f>
        <v>0</v>
      </c>
      <c r="K360" s="63">
        <f t="shared" si="155"/>
        <v>0</v>
      </c>
    </row>
    <row r="361" spans="1:11" hidden="1">
      <c r="A361" s="21" t="s">
        <v>116</v>
      </c>
      <c r="B361" s="83" t="s">
        <v>64</v>
      </c>
      <c r="C361" s="83" t="s">
        <v>12</v>
      </c>
      <c r="D361" s="83" t="s">
        <v>34</v>
      </c>
      <c r="E361" s="84">
        <v>5</v>
      </c>
      <c r="F361" s="83" t="s">
        <v>15</v>
      </c>
      <c r="G361" s="83" t="s">
        <v>304</v>
      </c>
      <c r="H361" s="84">
        <v>540</v>
      </c>
      <c r="I361" s="63"/>
      <c r="J361" s="63"/>
      <c r="K361" s="63"/>
    </row>
    <row r="362" spans="1:11" ht="46.8">
      <c r="A362" s="21" t="s">
        <v>141</v>
      </c>
      <c r="B362" s="83" t="s">
        <v>64</v>
      </c>
      <c r="C362" s="83" t="s">
        <v>12</v>
      </c>
      <c r="D362" s="83" t="s">
        <v>36</v>
      </c>
      <c r="E362" s="84">
        <v>0</v>
      </c>
      <c r="F362" s="83" t="s">
        <v>15</v>
      </c>
      <c r="G362" s="83" t="s">
        <v>16</v>
      </c>
      <c r="H362" s="84"/>
      <c r="I362" s="64">
        <f>I363</f>
        <v>76000</v>
      </c>
      <c r="J362" s="64">
        <f t="shared" ref="J362:K362" si="156">J363</f>
        <v>76000</v>
      </c>
      <c r="K362" s="64">
        <f t="shared" si="156"/>
        <v>70976</v>
      </c>
    </row>
    <row r="363" spans="1:11">
      <c r="A363" s="21" t="s">
        <v>305</v>
      </c>
      <c r="B363" s="83" t="s">
        <v>64</v>
      </c>
      <c r="C363" s="83" t="s">
        <v>12</v>
      </c>
      <c r="D363" s="83" t="s">
        <v>36</v>
      </c>
      <c r="E363" s="84">
        <v>3</v>
      </c>
      <c r="F363" s="83" t="s">
        <v>15</v>
      </c>
      <c r="G363" s="83" t="s">
        <v>16</v>
      </c>
      <c r="H363" s="84"/>
      <c r="I363" s="64">
        <f>I365+I367</f>
        <v>76000</v>
      </c>
      <c r="J363" s="64">
        <f t="shared" ref="J363:K363" si="157">J365+J367</f>
        <v>76000</v>
      </c>
      <c r="K363" s="64">
        <f t="shared" si="157"/>
        <v>70976</v>
      </c>
    </row>
    <row r="364" spans="1:11">
      <c r="A364" s="21" t="s">
        <v>143</v>
      </c>
      <c r="B364" s="83" t="s">
        <v>64</v>
      </c>
      <c r="C364" s="83" t="s">
        <v>12</v>
      </c>
      <c r="D364" s="83" t="s">
        <v>36</v>
      </c>
      <c r="E364" s="84">
        <v>3</v>
      </c>
      <c r="F364" s="83" t="s">
        <v>12</v>
      </c>
      <c r="G364" s="83" t="s">
        <v>16</v>
      </c>
      <c r="H364" s="84"/>
      <c r="I364" s="64">
        <f>I365</f>
        <v>71000</v>
      </c>
      <c r="J364" s="64">
        <f t="shared" ref="J364:K365" si="158">J365</f>
        <v>71000</v>
      </c>
      <c r="K364" s="64">
        <f t="shared" si="158"/>
        <v>70976</v>
      </c>
    </row>
    <row r="365" spans="1:11" ht="31.2">
      <c r="A365" s="22" t="s">
        <v>144</v>
      </c>
      <c r="B365" s="83" t="s">
        <v>64</v>
      </c>
      <c r="C365" s="83" t="s">
        <v>12</v>
      </c>
      <c r="D365" s="83" t="s">
        <v>36</v>
      </c>
      <c r="E365" s="83" t="s">
        <v>21</v>
      </c>
      <c r="F365" s="83" t="s">
        <v>12</v>
      </c>
      <c r="G365" s="83" t="s">
        <v>145</v>
      </c>
      <c r="H365" s="83"/>
      <c r="I365" s="64">
        <f>I366</f>
        <v>71000</v>
      </c>
      <c r="J365" s="64">
        <f t="shared" si="158"/>
        <v>71000</v>
      </c>
      <c r="K365" s="64">
        <f t="shared" si="158"/>
        <v>70976</v>
      </c>
    </row>
    <row r="366" spans="1:11" ht="31.2">
      <c r="A366" s="22" t="s">
        <v>22</v>
      </c>
      <c r="B366" s="83" t="s">
        <v>64</v>
      </c>
      <c r="C366" s="83" t="s">
        <v>12</v>
      </c>
      <c r="D366" s="83" t="s">
        <v>36</v>
      </c>
      <c r="E366" s="83" t="s">
        <v>21</v>
      </c>
      <c r="F366" s="83" t="s">
        <v>12</v>
      </c>
      <c r="G366" s="83" t="s">
        <v>145</v>
      </c>
      <c r="H366" s="83" t="s">
        <v>23</v>
      </c>
      <c r="I366" s="64">
        <f>'Прил 6'!J363</f>
        <v>71000</v>
      </c>
      <c r="J366" s="64">
        <f>'Прил 6'!K363</f>
        <v>71000</v>
      </c>
      <c r="K366" s="64">
        <f>'Прил 6'!L363</f>
        <v>70976</v>
      </c>
    </row>
    <row r="367" spans="1:11">
      <c r="A367" s="21" t="s">
        <v>150</v>
      </c>
      <c r="B367" s="83" t="s">
        <v>64</v>
      </c>
      <c r="C367" s="83" t="s">
        <v>12</v>
      </c>
      <c r="D367" s="83" t="s">
        <v>36</v>
      </c>
      <c r="E367" s="84">
        <v>3</v>
      </c>
      <c r="F367" s="83" t="s">
        <v>13</v>
      </c>
      <c r="G367" s="83" t="s">
        <v>16</v>
      </c>
      <c r="H367" s="84"/>
      <c r="I367" s="64">
        <f>I368</f>
        <v>5000</v>
      </c>
      <c r="J367" s="64">
        <f t="shared" ref="J367:K368" si="159">J368</f>
        <v>5000</v>
      </c>
      <c r="K367" s="64">
        <f t="shared" si="159"/>
        <v>0</v>
      </c>
    </row>
    <row r="368" spans="1:11" ht="31.2">
      <c r="A368" s="22" t="s">
        <v>144</v>
      </c>
      <c r="B368" s="83" t="s">
        <v>64</v>
      </c>
      <c r="C368" s="83" t="s">
        <v>12</v>
      </c>
      <c r="D368" s="83" t="s">
        <v>36</v>
      </c>
      <c r="E368" s="83" t="s">
        <v>21</v>
      </c>
      <c r="F368" s="83" t="s">
        <v>13</v>
      </c>
      <c r="G368" s="83" t="s">
        <v>145</v>
      </c>
      <c r="H368" s="83"/>
      <c r="I368" s="64">
        <f>I369</f>
        <v>5000</v>
      </c>
      <c r="J368" s="64">
        <f t="shared" si="159"/>
        <v>5000</v>
      </c>
      <c r="K368" s="64">
        <f t="shared" si="159"/>
        <v>0</v>
      </c>
    </row>
    <row r="369" spans="1:11" ht="31.2">
      <c r="A369" s="22" t="s">
        <v>22</v>
      </c>
      <c r="B369" s="83" t="s">
        <v>64</v>
      </c>
      <c r="C369" s="83" t="s">
        <v>12</v>
      </c>
      <c r="D369" s="83" t="s">
        <v>36</v>
      </c>
      <c r="E369" s="83" t="s">
        <v>21</v>
      </c>
      <c r="F369" s="83" t="s">
        <v>13</v>
      </c>
      <c r="G369" s="83" t="s">
        <v>145</v>
      </c>
      <c r="H369" s="83" t="s">
        <v>23</v>
      </c>
      <c r="I369" s="64">
        <f>'Прил 6'!J366</f>
        <v>5000</v>
      </c>
      <c r="J369" s="64">
        <f>'Прил 6'!K366</f>
        <v>5000</v>
      </c>
      <c r="K369" s="64">
        <f>'Прил 6'!L366</f>
        <v>0</v>
      </c>
    </row>
    <row r="370" spans="1:11" ht="46.8" hidden="1">
      <c r="A370" s="21" t="s">
        <v>156</v>
      </c>
      <c r="B370" s="83" t="s">
        <v>64</v>
      </c>
      <c r="C370" s="83" t="s">
        <v>12</v>
      </c>
      <c r="D370" s="83" t="s">
        <v>38</v>
      </c>
      <c r="E370" s="84">
        <v>0</v>
      </c>
      <c r="F370" s="83" t="s">
        <v>15</v>
      </c>
      <c r="G370" s="83" t="s">
        <v>16</v>
      </c>
      <c r="H370" s="84"/>
      <c r="I370" s="64">
        <f>I371</f>
        <v>0</v>
      </c>
      <c r="J370" s="64">
        <f t="shared" ref="J370:K372" si="160">J371</f>
        <v>0</v>
      </c>
      <c r="K370" s="64">
        <f t="shared" si="160"/>
        <v>0</v>
      </c>
    </row>
    <row r="371" spans="1:11" hidden="1">
      <c r="A371" s="22" t="s">
        <v>157</v>
      </c>
      <c r="B371" s="83" t="s">
        <v>64</v>
      </c>
      <c r="C371" s="83" t="s">
        <v>12</v>
      </c>
      <c r="D371" s="83" t="s">
        <v>38</v>
      </c>
      <c r="E371" s="83" t="s">
        <v>14</v>
      </c>
      <c r="F371" s="83" t="s">
        <v>12</v>
      </c>
      <c r="G371" s="83" t="s">
        <v>16</v>
      </c>
      <c r="H371" s="83"/>
      <c r="I371" s="64">
        <f>I372</f>
        <v>0</v>
      </c>
      <c r="J371" s="64">
        <f t="shared" si="160"/>
        <v>0</v>
      </c>
      <c r="K371" s="64">
        <f t="shared" si="160"/>
        <v>0</v>
      </c>
    </row>
    <row r="372" spans="1:11" hidden="1">
      <c r="A372" s="22" t="s">
        <v>158</v>
      </c>
      <c r="B372" s="83" t="s">
        <v>64</v>
      </c>
      <c r="C372" s="83" t="s">
        <v>12</v>
      </c>
      <c r="D372" s="83" t="s">
        <v>38</v>
      </c>
      <c r="E372" s="83" t="s">
        <v>14</v>
      </c>
      <c r="F372" s="83" t="s">
        <v>12</v>
      </c>
      <c r="G372" s="83" t="s">
        <v>159</v>
      </c>
      <c r="H372" s="83"/>
      <c r="I372" s="64">
        <f>I373</f>
        <v>0</v>
      </c>
      <c r="J372" s="64">
        <f t="shared" si="160"/>
        <v>0</v>
      </c>
      <c r="K372" s="64">
        <f t="shared" si="160"/>
        <v>0</v>
      </c>
    </row>
    <row r="373" spans="1:11" ht="31.2" hidden="1">
      <c r="A373" s="22" t="s">
        <v>22</v>
      </c>
      <c r="B373" s="83" t="s">
        <v>64</v>
      </c>
      <c r="C373" s="83" t="s">
        <v>12</v>
      </c>
      <c r="D373" s="83" t="s">
        <v>38</v>
      </c>
      <c r="E373" s="83" t="s">
        <v>14</v>
      </c>
      <c r="F373" s="83" t="s">
        <v>12</v>
      </c>
      <c r="G373" s="83" t="s">
        <v>159</v>
      </c>
      <c r="H373" s="83" t="s">
        <v>23</v>
      </c>
      <c r="I373" s="64">
        <f>'Прил 6'!J370</f>
        <v>0</v>
      </c>
      <c r="J373" s="64">
        <f>'Прил 6'!K370</f>
        <v>0</v>
      </c>
      <c r="K373" s="64">
        <f>'Прил 6'!L370</f>
        <v>0</v>
      </c>
    </row>
    <row r="374" spans="1:11">
      <c r="A374" s="22" t="s">
        <v>27</v>
      </c>
      <c r="B374" s="83" t="s">
        <v>64</v>
      </c>
      <c r="C374" s="83" t="s">
        <v>12</v>
      </c>
      <c r="D374" s="83" t="s">
        <v>28</v>
      </c>
      <c r="E374" s="84">
        <v>0</v>
      </c>
      <c r="F374" s="83" t="s">
        <v>14</v>
      </c>
      <c r="G374" s="83" t="s">
        <v>16</v>
      </c>
      <c r="H374" s="84"/>
      <c r="I374" s="63">
        <f>I375</f>
        <v>1200191.46</v>
      </c>
      <c r="J374" s="63">
        <f t="shared" ref="J374:K374" si="161">J375</f>
        <v>1750043.15</v>
      </c>
      <c r="K374" s="63">
        <f t="shared" si="161"/>
        <v>1750043.15</v>
      </c>
    </row>
    <row r="375" spans="1:11">
      <c r="A375" s="22" t="s">
        <v>174</v>
      </c>
      <c r="B375" s="83" t="s">
        <v>64</v>
      </c>
      <c r="C375" s="83" t="s">
        <v>12</v>
      </c>
      <c r="D375" s="83" t="s">
        <v>28</v>
      </c>
      <c r="E375" s="84">
        <v>9</v>
      </c>
      <c r="F375" s="83" t="s">
        <v>14</v>
      </c>
      <c r="G375" s="83" t="s">
        <v>16</v>
      </c>
      <c r="H375" s="84"/>
      <c r="I375" s="63">
        <f>I376+I378+I380+I383</f>
        <v>1200191.46</v>
      </c>
      <c r="J375" s="63">
        <f t="shared" ref="J375:K375" si="162">J376+J378+J380+J383</f>
        <v>1750043.15</v>
      </c>
      <c r="K375" s="63">
        <f t="shared" si="162"/>
        <v>1750043.15</v>
      </c>
    </row>
    <row r="376" spans="1:11" ht="31.2" hidden="1">
      <c r="A376" s="22" t="s">
        <v>306</v>
      </c>
      <c r="B376" s="83" t="s">
        <v>64</v>
      </c>
      <c r="C376" s="83" t="s">
        <v>12</v>
      </c>
      <c r="D376" s="83" t="s">
        <v>28</v>
      </c>
      <c r="E376" s="84">
        <v>9</v>
      </c>
      <c r="F376" s="83" t="s">
        <v>14</v>
      </c>
      <c r="G376" s="83" t="s">
        <v>307</v>
      </c>
      <c r="H376" s="84"/>
      <c r="I376" s="63">
        <f>I377</f>
        <v>0</v>
      </c>
      <c r="J376" s="63">
        <f t="shared" ref="J376:K376" si="163">J377</f>
        <v>0</v>
      </c>
      <c r="K376" s="63">
        <f t="shared" si="163"/>
        <v>0</v>
      </c>
    </row>
    <row r="377" spans="1:11" ht="31.2" hidden="1">
      <c r="A377" s="22" t="s">
        <v>22</v>
      </c>
      <c r="B377" s="83" t="s">
        <v>64</v>
      </c>
      <c r="C377" s="83" t="s">
        <v>12</v>
      </c>
      <c r="D377" s="83" t="s">
        <v>28</v>
      </c>
      <c r="E377" s="84">
        <v>9</v>
      </c>
      <c r="F377" s="83" t="s">
        <v>14</v>
      </c>
      <c r="G377" s="83" t="s">
        <v>307</v>
      </c>
      <c r="H377" s="84">
        <v>240</v>
      </c>
      <c r="I377" s="63"/>
      <c r="J377" s="63"/>
      <c r="K377" s="63"/>
    </row>
    <row r="378" spans="1:11" ht="62.4">
      <c r="A378" s="22" t="s">
        <v>308</v>
      </c>
      <c r="B378" s="83" t="s">
        <v>64</v>
      </c>
      <c r="C378" s="83" t="s">
        <v>12</v>
      </c>
      <c r="D378" s="83" t="s">
        <v>28</v>
      </c>
      <c r="E378" s="84">
        <v>9</v>
      </c>
      <c r="F378" s="83" t="s">
        <v>15</v>
      </c>
      <c r="G378" s="83" t="s">
        <v>81</v>
      </c>
      <c r="H378" s="84"/>
      <c r="I378" s="63">
        <f>I379</f>
        <v>46486</v>
      </c>
      <c r="J378" s="63">
        <f t="shared" ref="J378:K378" si="164">J379</f>
        <v>46486</v>
      </c>
      <c r="K378" s="63">
        <f t="shared" si="164"/>
        <v>46486</v>
      </c>
    </row>
    <row r="379" spans="1:11" ht="31.2">
      <c r="A379" s="22" t="s">
        <v>58</v>
      </c>
      <c r="B379" s="83" t="s">
        <v>64</v>
      </c>
      <c r="C379" s="83" t="s">
        <v>12</v>
      </c>
      <c r="D379" s="83" t="s">
        <v>28</v>
      </c>
      <c r="E379" s="84">
        <v>9</v>
      </c>
      <c r="F379" s="83" t="s">
        <v>15</v>
      </c>
      <c r="G379" s="83" t="s">
        <v>81</v>
      </c>
      <c r="H379" s="84">
        <v>110</v>
      </c>
      <c r="I379" s="63">
        <f>'Прил 6'!J376</f>
        <v>46486</v>
      </c>
      <c r="J379" s="63">
        <f>'Прил 6'!K376</f>
        <v>46486</v>
      </c>
      <c r="K379" s="63">
        <f>'Прил 6'!L376</f>
        <v>46486</v>
      </c>
    </row>
    <row r="380" spans="1:11" ht="31.2">
      <c r="A380" s="22" t="s">
        <v>386</v>
      </c>
      <c r="B380" s="83" t="s">
        <v>64</v>
      </c>
      <c r="C380" s="83" t="s">
        <v>12</v>
      </c>
      <c r="D380" s="83" t="s">
        <v>28</v>
      </c>
      <c r="E380" s="84">
        <v>9</v>
      </c>
      <c r="F380" s="83" t="s">
        <v>15</v>
      </c>
      <c r="G380" s="83" t="s">
        <v>385</v>
      </c>
      <c r="H380" s="84"/>
      <c r="I380" s="63">
        <f>SUM(I381:I382)</f>
        <v>1153705.46</v>
      </c>
      <c r="J380" s="63">
        <f t="shared" ref="J380:K380" si="165">SUM(J381:J382)</f>
        <v>1153705.46</v>
      </c>
      <c r="K380" s="63">
        <f t="shared" si="165"/>
        <v>1153705.46</v>
      </c>
    </row>
    <row r="381" spans="1:11">
      <c r="A381" s="21" t="s">
        <v>285</v>
      </c>
      <c r="B381" s="83" t="s">
        <v>64</v>
      </c>
      <c r="C381" s="83" t="s">
        <v>12</v>
      </c>
      <c r="D381" s="83" t="s">
        <v>28</v>
      </c>
      <c r="E381" s="84">
        <v>9</v>
      </c>
      <c r="F381" s="83" t="s">
        <v>15</v>
      </c>
      <c r="G381" s="83" t="s">
        <v>385</v>
      </c>
      <c r="H381" s="84">
        <v>110</v>
      </c>
      <c r="I381" s="63">
        <f>'Прил 6'!J378</f>
        <v>495073.86</v>
      </c>
      <c r="J381" s="63">
        <f>'Прил 6'!K378</f>
        <v>495073.86</v>
      </c>
      <c r="K381" s="63">
        <f>'Прил 6'!L378</f>
        <v>495073.86</v>
      </c>
    </row>
    <row r="382" spans="1:11">
      <c r="A382" s="21" t="s">
        <v>65</v>
      </c>
      <c r="B382" s="83" t="s">
        <v>64</v>
      </c>
      <c r="C382" s="83" t="s">
        <v>12</v>
      </c>
      <c r="D382" s="83" t="s">
        <v>28</v>
      </c>
      <c r="E382" s="84">
        <v>9</v>
      </c>
      <c r="F382" s="83" t="s">
        <v>15</v>
      </c>
      <c r="G382" s="83" t="s">
        <v>385</v>
      </c>
      <c r="H382" s="84">
        <v>620</v>
      </c>
      <c r="I382" s="63">
        <f>'Прил 6'!J379</f>
        <v>658631.6</v>
      </c>
      <c r="J382" s="63">
        <f>'Прил 6'!K379</f>
        <v>658631.6</v>
      </c>
      <c r="K382" s="63">
        <f>'Прил 6'!L379</f>
        <v>658631.6</v>
      </c>
    </row>
    <row r="383" spans="1:11" ht="31.2">
      <c r="A383" s="21" t="s">
        <v>626</v>
      </c>
      <c r="B383" s="90" t="s">
        <v>64</v>
      </c>
      <c r="C383" s="90" t="s">
        <v>12</v>
      </c>
      <c r="D383" s="90" t="s">
        <v>28</v>
      </c>
      <c r="E383" s="91">
        <v>9</v>
      </c>
      <c r="F383" s="90" t="s">
        <v>15</v>
      </c>
      <c r="G383" s="90" t="s">
        <v>615</v>
      </c>
      <c r="H383" s="91"/>
      <c r="I383" s="63">
        <f>SUM(I384:I385)</f>
        <v>0</v>
      </c>
      <c r="J383" s="63">
        <f t="shared" ref="J383:K383" si="166">SUM(J384:J385)</f>
        <v>549851.68999999994</v>
      </c>
      <c r="K383" s="63">
        <f t="shared" si="166"/>
        <v>549851.68999999994</v>
      </c>
    </row>
    <row r="384" spans="1:11">
      <c r="A384" s="21" t="s">
        <v>285</v>
      </c>
      <c r="B384" s="90" t="s">
        <v>64</v>
      </c>
      <c r="C384" s="90" t="s">
        <v>12</v>
      </c>
      <c r="D384" s="90" t="s">
        <v>28</v>
      </c>
      <c r="E384" s="91">
        <v>9</v>
      </c>
      <c r="F384" s="90" t="s">
        <v>15</v>
      </c>
      <c r="G384" s="90" t="s">
        <v>615</v>
      </c>
      <c r="H384" s="91">
        <v>110</v>
      </c>
      <c r="I384" s="63">
        <f>'Прил 6'!J381</f>
        <v>0</v>
      </c>
      <c r="J384" s="63">
        <f>'Прил 6'!K381</f>
        <v>111960.75</v>
      </c>
      <c r="K384" s="63">
        <f>'Прил 6'!L381</f>
        <v>111960.75</v>
      </c>
    </row>
    <row r="385" spans="1:11">
      <c r="A385" s="21" t="s">
        <v>65</v>
      </c>
      <c r="B385" s="90" t="s">
        <v>64</v>
      </c>
      <c r="C385" s="90" t="s">
        <v>12</v>
      </c>
      <c r="D385" s="90" t="s">
        <v>28</v>
      </c>
      <c r="E385" s="91">
        <v>9</v>
      </c>
      <c r="F385" s="90" t="s">
        <v>15</v>
      </c>
      <c r="G385" s="90" t="s">
        <v>615</v>
      </c>
      <c r="H385" s="91">
        <v>620</v>
      </c>
      <c r="I385" s="63">
        <f>'Прил 6'!J382</f>
        <v>0</v>
      </c>
      <c r="J385" s="63">
        <f>'Прил 6'!K382</f>
        <v>437890.94</v>
      </c>
      <c r="K385" s="63">
        <f>'Прил 6'!L382</f>
        <v>437890.94</v>
      </c>
    </row>
    <row r="386" spans="1:11">
      <c r="A386" s="21" t="s">
        <v>82</v>
      </c>
      <c r="B386" s="83" t="s">
        <v>64</v>
      </c>
      <c r="C386" s="83" t="s">
        <v>31</v>
      </c>
      <c r="D386" s="83"/>
      <c r="E386" s="84"/>
      <c r="F386" s="83"/>
      <c r="G386" s="83"/>
      <c r="H386" s="84"/>
      <c r="I386" s="64">
        <f>I387</f>
        <v>408221.66000000003</v>
      </c>
      <c r="J386" s="64">
        <f t="shared" ref="J386:K387" si="167">J387</f>
        <v>408221.66000000003</v>
      </c>
      <c r="K386" s="64">
        <f t="shared" si="167"/>
        <v>408221.66000000003</v>
      </c>
    </row>
    <row r="387" spans="1:11" ht="46.8">
      <c r="A387" s="22" t="s">
        <v>291</v>
      </c>
      <c r="B387" s="83" t="s">
        <v>64</v>
      </c>
      <c r="C387" s="83" t="s">
        <v>31</v>
      </c>
      <c r="D387" s="83" t="s">
        <v>34</v>
      </c>
      <c r="E387" s="84">
        <v>0</v>
      </c>
      <c r="F387" s="83" t="s">
        <v>15</v>
      </c>
      <c r="G387" s="83" t="s">
        <v>16</v>
      </c>
      <c r="H387" s="84"/>
      <c r="I387" s="64">
        <f>I388</f>
        <v>408221.66000000003</v>
      </c>
      <c r="J387" s="64">
        <f t="shared" si="167"/>
        <v>408221.66000000003</v>
      </c>
      <c r="K387" s="64">
        <f t="shared" si="167"/>
        <v>408221.66000000003</v>
      </c>
    </row>
    <row r="388" spans="1:11">
      <c r="A388" s="22" t="s">
        <v>309</v>
      </c>
      <c r="B388" s="83" t="s">
        <v>64</v>
      </c>
      <c r="C388" s="83" t="s">
        <v>31</v>
      </c>
      <c r="D388" s="83" t="s">
        <v>34</v>
      </c>
      <c r="E388" s="84">
        <v>3</v>
      </c>
      <c r="F388" s="83" t="s">
        <v>15</v>
      </c>
      <c r="G388" s="83" t="s">
        <v>16</v>
      </c>
      <c r="H388" s="84"/>
      <c r="I388" s="64">
        <f>I389+I391+I393</f>
        <v>408221.66000000003</v>
      </c>
      <c r="J388" s="64">
        <f t="shared" ref="J388:K388" si="168">J389+J391+J393</f>
        <v>408221.66000000003</v>
      </c>
      <c r="K388" s="64">
        <f t="shared" si="168"/>
        <v>408221.66000000003</v>
      </c>
    </row>
    <row r="389" spans="1:11">
      <c r="A389" s="22" t="s">
        <v>310</v>
      </c>
      <c r="B389" s="83" t="s">
        <v>64</v>
      </c>
      <c r="C389" s="83" t="s">
        <v>31</v>
      </c>
      <c r="D389" s="83" t="s">
        <v>34</v>
      </c>
      <c r="E389" s="84">
        <v>3</v>
      </c>
      <c r="F389" s="83" t="s">
        <v>15</v>
      </c>
      <c r="G389" s="83" t="s">
        <v>311</v>
      </c>
      <c r="H389" s="84"/>
      <c r="I389" s="64">
        <f>I390</f>
        <v>100000</v>
      </c>
      <c r="J389" s="64">
        <f t="shared" ref="J389:K389" si="169">J390</f>
        <v>100000</v>
      </c>
      <c r="K389" s="64">
        <f t="shared" si="169"/>
        <v>100000</v>
      </c>
    </row>
    <row r="390" spans="1:11">
      <c r="A390" s="22" t="s">
        <v>39</v>
      </c>
      <c r="B390" s="83" t="s">
        <v>64</v>
      </c>
      <c r="C390" s="83" t="s">
        <v>31</v>
      </c>
      <c r="D390" s="83" t="s">
        <v>34</v>
      </c>
      <c r="E390" s="84">
        <v>3</v>
      </c>
      <c r="F390" s="83" t="s">
        <v>15</v>
      </c>
      <c r="G390" s="83" t="s">
        <v>311</v>
      </c>
      <c r="H390" s="84">
        <v>350</v>
      </c>
      <c r="I390" s="64">
        <f>'Прил 6'!J387</f>
        <v>100000</v>
      </c>
      <c r="J390" s="64">
        <f>'Прил 6'!K387</f>
        <v>100000</v>
      </c>
      <c r="K390" s="64">
        <f>'Прил 6'!L387</f>
        <v>100000</v>
      </c>
    </row>
    <row r="391" spans="1:11">
      <c r="A391" s="22" t="s">
        <v>312</v>
      </c>
      <c r="B391" s="83" t="s">
        <v>64</v>
      </c>
      <c r="C391" s="83" t="s">
        <v>31</v>
      </c>
      <c r="D391" s="83" t="s">
        <v>34</v>
      </c>
      <c r="E391" s="84">
        <v>3</v>
      </c>
      <c r="F391" s="83" t="s">
        <v>15</v>
      </c>
      <c r="G391" s="83" t="s">
        <v>313</v>
      </c>
      <c r="H391" s="84"/>
      <c r="I391" s="64">
        <f>I392</f>
        <v>155971.66</v>
      </c>
      <c r="J391" s="64">
        <f t="shared" ref="J391:K391" si="170">J392</f>
        <v>155971.66</v>
      </c>
      <c r="K391" s="64">
        <f t="shared" si="170"/>
        <v>155971.66</v>
      </c>
    </row>
    <row r="392" spans="1:11" ht="31.2">
      <c r="A392" s="22" t="s">
        <v>22</v>
      </c>
      <c r="B392" s="83" t="s">
        <v>64</v>
      </c>
      <c r="C392" s="83" t="s">
        <v>31</v>
      </c>
      <c r="D392" s="83" t="s">
        <v>34</v>
      </c>
      <c r="E392" s="84">
        <v>3</v>
      </c>
      <c r="F392" s="83" t="s">
        <v>15</v>
      </c>
      <c r="G392" s="83" t="s">
        <v>313</v>
      </c>
      <c r="H392" s="84">
        <v>240</v>
      </c>
      <c r="I392" s="64">
        <f>'Прил 6'!J389</f>
        <v>155971.66</v>
      </c>
      <c r="J392" s="64">
        <f>'Прил 6'!K389</f>
        <v>155971.66</v>
      </c>
      <c r="K392" s="64">
        <f>'Прил 6'!L389</f>
        <v>155971.66</v>
      </c>
    </row>
    <row r="393" spans="1:11">
      <c r="A393" s="22" t="s">
        <v>314</v>
      </c>
      <c r="B393" s="83" t="s">
        <v>64</v>
      </c>
      <c r="C393" s="83" t="s">
        <v>31</v>
      </c>
      <c r="D393" s="83" t="s">
        <v>34</v>
      </c>
      <c r="E393" s="84">
        <v>3</v>
      </c>
      <c r="F393" s="83" t="s">
        <v>15</v>
      </c>
      <c r="G393" s="83" t="s">
        <v>315</v>
      </c>
      <c r="H393" s="84"/>
      <c r="I393" s="64">
        <f>I394</f>
        <v>152250</v>
      </c>
      <c r="J393" s="64">
        <f t="shared" ref="J393:K393" si="171">J394</f>
        <v>152250</v>
      </c>
      <c r="K393" s="64">
        <f t="shared" si="171"/>
        <v>152250</v>
      </c>
    </row>
    <row r="394" spans="1:11" ht="31.2">
      <c r="A394" s="22" t="s">
        <v>22</v>
      </c>
      <c r="B394" s="83" t="s">
        <v>64</v>
      </c>
      <c r="C394" s="83" t="s">
        <v>31</v>
      </c>
      <c r="D394" s="83" t="s">
        <v>34</v>
      </c>
      <c r="E394" s="84">
        <v>3</v>
      </c>
      <c r="F394" s="83" t="s">
        <v>15</v>
      </c>
      <c r="G394" s="83" t="s">
        <v>315</v>
      </c>
      <c r="H394" s="84">
        <v>240</v>
      </c>
      <c r="I394" s="64">
        <f>'Прил 6'!J391</f>
        <v>152250</v>
      </c>
      <c r="J394" s="64">
        <f>'Прил 6'!K391</f>
        <v>152250</v>
      </c>
      <c r="K394" s="64">
        <f>'Прил 6'!L391</f>
        <v>152250</v>
      </c>
    </row>
    <row r="395" spans="1:11">
      <c r="A395" s="29" t="s">
        <v>83</v>
      </c>
      <c r="B395" s="83">
        <v>10</v>
      </c>
      <c r="C395" s="83"/>
      <c r="D395" s="83"/>
      <c r="E395" s="84"/>
      <c r="F395" s="83"/>
      <c r="G395" s="83"/>
      <c r="H395" s="84"/>
      <c r="I395" s="64">
        <f>I396</f>
        <v>667808</v>
      </c>
      <c r="J395" s="64">
        <f t="shared" ref="J395:K395" si="172">J396</f>
        <v>667808</v>
      </c>
      <c r="K395" s="64">
        <f t="shared" si="172"/>
        <v>501997.5</v>
      </c>
    </row>
    <row r="396" spans="1:11">
      <c r="A396" s="21" t="s">
        <v>84</v>
      </c>
      <c r="B396" s="83" t="s">
        <v>38</v>
      </c>
      <c r="C396" s="83" t="s">
        <v>19</v>
      </c>
      <c r="D396" s="83"/>
      <c r="E396" s="83"/>
      <c r="F396" s="83"/>
      <c r="G396" s="83"/>
      <c r="H396" s="84"/>
      <c r="I396" s="64">
        <f>I397+I401+I405</f>
        <v>667808</v>
      </c>
      <c r="J396" s="64">
        <f t="shared" ref="J396:K396" si="173">J397+J401+J405</f>
        <v>667808</v>
      </c>
      <c r="K396" s="64">
        <f t="shared" si="173"/>
        <v>501997.5</v>
      </c>
    </row>
    <row r="397" spans="1:11" hidden="1">
      <c r="A397" s="21" t="s">
        <v>41</v>
      </c>
      <c r="B397" s="83" t="s">
        <v>38</v>
      </c>
      <c r="C397" s="83" t="s">
        <v>19</v>
      </c>
      <c r="D397" s="83">
        <v>94</v>
      </c>
      <c r="E397" s="84">
        <v>0</v>
      </c>
      <c r="F397" s="83" t="s">
        <v>15</v>
      </c>
      <c r="G397" s="83" t="s">
        <v>16</v>
      </c>
      <c r="H397" s="84"/>
      <c r="I397" s="64">
        <f>I398</f>
        <v>0</v>
      </c>
      <c r="J397" s="64">
        <f t="shared" ref="J397:K399" si="174">J398</f>
        <v>0</v>
      </c>
      <c r="K397" s="64">
        <f t="shared" si="174"/>
        <v>0</v>
      </c>
    </row>
    <row r="398" spans="1:11" hidden="1">
      <c r="A398" s="21" t="s">
        <v>128</v>
      </c>
      <c r="B398" s="83" t="s">
        <v>38</v>
      </c>
      <c r="C398" s="83" t="s">
        <v>19</v>
      </c>
      <c r="D398" s="83">
        <v>94</v>
      </c>
      <c r="E398" s="84">
        <v>1</v>
      </c>
      <c r="F398" s="83" t="s">
        <v>15</v>
      </c>
      <c r="G398" s="83" t="s">
        <v>16</v>
      </c>
      <c r="H398" s="84" t="s">
        <v>94</v>
      </c>
      <c r="I398" s="64">
        <f>I399</f>
        <v>0</v>
      </c>
      <c r="J398" s="64">
        <f t="shared" si="174"/>
        <v>0</v>
      </c>
      <c r="K398" s="64">
        <f t="shared" si="174"/>
        <v>0</v>
      </c>
    </row>
    <row r="399" spans="1:11" hidden="1">
      <c r="A399" s="21" t="s">
        <v>128</v>
      </c>
      <c r="B399" s="83" t="s">
        <v>38</v>
      </c>
      <c r="C399" s="83" t="s">
        <v>19</v>
      </c>
      <c r="D399" s="83">
        <v>94</v>
      </c>
      <c r="E399" s="84">
        <v>1</v>
      </c>
      <c r="F399" s="83" t="s">
        <v>15</v>
      </c>
      <c r="G399" s="83" t="s">
        <v>129</v>
      </c>
      <c r="H399" s="84"/>
      <c r="I399" s="64">
        <f>I400</f>
        <v>0</v>
      </c>
      <c r="J399" s="64">
        <f t="shared" si="174"/>
        <v>0</v>
      </c>
      <c r="K399" s="64">
        <f t="shared" si="174"/>
        <v>0</v>
      </c>
    </row>
    <row r="400" spans="1:11" hidden="1">
      <c r="A400" s="21" t="s">
        <v>43</v>
      </c>
      <c r="B400" s="83" t="s">
        <v>38</v>
      </c>
      <c r="C400" s="83" t="s">
        <v>19</v>
      </c>
      <c r="D400" s="83">
        <v>94</v>
      </c>
      <c r="E400" s="84">
        <v>1</v>
      </c>
      <c r="F400" s="83" t="s">
        <v>15</v>
      </c>
      <c r="G400" s="83" t="s">
        <v>129</v>
      </c>
      <c r="H400" s="83" t="s">
        <v>44</v>
      </c>
      <c r="I400" s="64"/>
      <c r="J400" s="64"/>
      <c r="K400" s="64"/>
    </row>
    <row r="401" spans="1:11">
      <c r="A401" s="22" t="s">
        <v>316</v>
      </c>
      <c r="B401" s="83" t="s">
        <v>38</v>
      </c>
      <c r="C401" s="83" t="s">
        <v>19</v>
      </c>
      <c r="D401" s="83" t="s">
        <v>317</v>
      </c>
      <c r="E401" s="84">
        <v>0</v>
      </c>
      <c r="F401" s="83" t="s">
        <v>15</v>
      </c>
      <c r="G401" s="83" t="s">
        <v>16</v>
      </c>
      <c r="H401" s="84"/>
      <c r="I401" s="64">
        <f>I402</f>
        <v>627808</v>
      </c>
      <c r="J401" s="64">
        <f t="shared" ref="J401:K403" si="175">J402</f>
        <v>627808</v>
      </c>
      <c r="K401" s="64">
        <f t="shared" si="175"/>
        <v>486997.5</v>
      </c>
    </row>
    <row r="402" spans="1:11">
      <c r="A402" s="22" t="s">
        <v>318</v>
      </c>
      <c r="B402" s="83" t="s">
        <v>38</v>
      </c>
      <c r="C402" s="83" t="s">
        <v>19</v>
      </c>
      <c r="D402" s="83" t="s">
        <v>317</v>
      </c>
      <c r="E402" s="84">
        <v>3</v>
      </c>
      <c r="F402" s="83" t="s">
        <v>15</v>
      </c>
      <c r="G402" s="83" t="s">
        <v>16</v>
      </c>
      <c r="H402" s="84"/>
      <c r="I402" s="64">
        <f>I403</f>
        <v>627808</v>
      </c>
      <c r="J402" s="64">
        <f t="shared" si="175"/>
        <v>627808</v>
      </c>
      <c r="K402" s="64">
        <f t="shared" si="175"/>
        <v>486997.5</v>
      </c>
    </row>
    <row r="403" spans="1:11" ht="31.2">
      <c r="A403" s="22" t="s">
        <v>319</v>
      </c>
      <c r="B403" s="83" t="s">
        <v>38</v>
      </c>
      <c r="C403" s="83" t="s">
        <v>19</v>
      </c>
      <c r="D403" s="83" t="s">
        <v>317</v>
      </c>
      <c r="E403" s="84">
        <v>3</v>
      </c>
      <c r="F403" s="83" t="s">
        <v>15</v>
      </c>
      <c r="G403" s="83" t="s">
        <v>320</v>
      </c>
      <c r="H403" s="84"/>
      <c r="I403" s="64">
        <f>I404</f>
        <v>627808</v>
      </c>
      <c r="J403" s="64">
        <f t="shared" si="175"/>
        <v>627808</v>
      </c>
      <c r="K403" s="64">
        <f t="shared" si="175"/>
        <v>486997.5</v>
      </c>
    </row>
    <row r="404" spans="1:11" ht="31.2">
      <c r="A404" s="22" t="s">
        <v>229</v>
      </c>
      <c r="B404" s="83" t="s">
        <v>38</v>
      </c>
      <c r="C404" s="83" t="s">
        <v>19</v>
      </c>
      <c r="D404" s="83" t="s">
        <v>317</v>
      </c>
      <c r="E404" s="84">
        <v>3</v>
      </c>
      <c r="F404" s="83" t="s">
        <v>15</v>
      </c>
      <c r="G404" s="83" t="s">
        <v>320</v>
      </c>
      <c r="H404" s="84">
        <v>810</v>
      </c>
      <c r="I404" s="64">
        <f>'Прил 6'!J401</f>
        <v>627808</v>
      </c>
      <c r="J404" s="64">
        <f>'Прил 6'!K401</f>
        <v>627808</v>
      </c>
      <c r="K404" s="64">
        <f>'Прил 6'!L401</f>
        <v>486997.5</v>
      </c>
    </row>
    <row r="405" spans="1:11">
      <c r="A405" s="22" t="s">
        <v>27</v>
      </c>
      <c r="B405" s="83" t="s">
        <v>38</v>
      </c>
      <c r="C405" s="83" t="s">
        <v>19</v>
      </c>
      <c r="D405" s="83" t="s">
        <v>28</v>
      </c>
      <c r="E405" s="84">
        <v>0</v>
      </c>
      <c r="F405" s="83" t="s">
        <v>15</v>
      </c>
      <c r="G405" s="83" t="s">
        <v>16</v>
      </c>
      <c r="H405" s="84"/>
      <c r="I405" s="64">
        <f>I406</f>
        <v>40000</v>
      </c>
      <c r="J405" s="64">
        <f t="shared" ref="J405:K407" si="176">J406</f>
        <v>40000</v>
      </c>
      <c r="K405" s="64">
        <f t="shared" si="176"/>
        <v>15000</v>
      </c>
    </row>
    <row r="406" spans="1:11">
      <c r="A406" s="22" t="s">
        <v>174</v>
      </c>
      <c r="B406" s="83" t="s">
        <v>38</v>
      </c>
      <c r="C406" s="83" t="s">
        <v>19</v>
      </c>
      <c r="D406" s="83" t="s">
        <v>28</v>
      </c>
      <c r="E406" s="84">
        <v>9</v>
      </c>
      <c r="F406" s="83" t="s">
        <v>15</v>
      </c>
      <c r="G406" s="83" t="s">
        <v>16</v>
      </c>
      <c r="H406" s="84"/>
      <c r="I406" s="64">
        <f>I407</f>
        <v>40000</v>
      </c>
      <c r="J406" s="64">
        <f t="shared" si="176"/>
        <v>40000</v>
      </c>
      <c r="K406" s="64">
        <f t="shared" si="176"/>
        <v>15000</v>
      </c>
    </row>
    <row r="407" spans="1:11">
      <c r="A407" s="22" t="s">
        <v>321</v>
      </c>
      <c r="B407" s="83" t="s">
        <v>38</v>
      </c>
      <c r="C407" s="83" t="s">
        <v>19</v>
      </c>
      <c r="D407" s="83" t="s">
        <v>28</v>
      </c>
      <c r="E407" s="84">
        <v>9</v>
      </c>
      <c r="F407" s="83" t="s">
        <v>15</v>
      </c>
      <c r="G407" s="83" t="s">
        <v>322</v>
      </c>
      <c r="H407" s="84"/>
      <c r="I407" s="63">
        <f>I408</f>
        <v>40000</v>
      </c>
      <c r="J407" s="63">
        <f t="shared" si="176"/>
        <v>40000</v>
      </c>
      <c r="K407" s="63">
        <f t="shared" si="176"/>
        <v>15000</v>
      </c>
    </row>
    <row r="408" spans="1:11">
      <c r="A408" s="22" t="s">
        <v>85</v>
      </c>
      <c r="B408" s="83" t="s">
        <v>38</v>
      </c>
      <c r="C408" s="83" t="s">
        <v>19</v>
      </c>
      <c r="D408" s="83" t="s">
        <v>28</v>
      </c>
      <c r="E408" s="84">
        <v>9</v>
      </c>
      <c r="F408" s="83" t="s">
        <v>15</v>
      </c>
      <c r="G408" s="83" t="s">
        <v>322</v>
      </c>
      <c r="H408" s="84">
        <v>310</v>
      </c>
      <c r="I408" s="63">
        <f>'Прил 6'!J405</f>
        <v>40000</v>
      </c>
      <c r="J408" s="63">
        <f>'Прил 6'!K405</f>
        <v>40000</v>
      </c>
      <c r="K408" s="63">
        <f>'Прил 6'!L405</f>
        <v>15000</v>
      </c>
    </row>
    <row r="409" spans="1:11">
      <c r="A409" s="29" t="s">
        <v>86</v>
      </c>
      <c r="B409" s="83">
        <v>11</v>
      </c>
      <c r="C409" s="83"/>
      <c r="D409" s="83"/>
      <c r="E409" s="84"/>
      <c r="F409" s="83"/>
      <c r="G409" s="83"/>
      <c r="H409" s="84"/>
      <c r="I409" s="64">
        <f>I410</f>
        <v>3152219.9299999997</v>
      </c>
      <c r="J409" s="64">
        <f t="shared" ref="J409:K411" si="177">J410</f>
        <v>3152219.9299999997</v>
      </c>
      <c r="K409" s="64">
        <f t="shared" si="177"/>
        <v>3074196.91</v>
      </c>
    </row>
    <row r="410" spans="1:11">
      <c r="A410" s="21" t="s">
        <v>87</v>
      </c>
      <c r="B410" s="83">
        <v>11</v>
      </c>
      <c r="C410" s="83" t="s">
        <v>32</v>
      </c>
      <c r="D410" s="83"/>
      <c r="E410" s="84"/>
      <c r="F410" s="83"/>
      <c r="G410" s="83"/>
      <c r="H410" s="84"/>
      <c r="I410" s="64">
        <f>I411</f>
        <v>3152219.9299999997</v>
      </c>
      <c r="J410" s="64">
        <f t="shared" si="177"/>
        <v>3152219.9299999997</v>
      </c>
      <c r="K410" s="64">
        <f t="shared" si="177"/>
        <v>3074196.91</v>
      </c>
    </row>
    <row r="411" spans="1:11" ht="46.8">
      <c r="A411" s="22" t="s">
        <v>291</v>
      </c>
      <c r="B411" s="83" t="s">
        <v>42</v>
      </c>
      <c r="C411" s="83" t="s">
        <v>32</v>
      </c>
      <c r="D411" s="83" t="s">
        <v>34</v>
      </c>
      <c r="E411" s="84">
        <v>0</v>
      </c>
      <c r="F411" s="83" t="s">
        <v>15</v>
      </c>
      <c r="G411" s="83" t="s">
        <v>16</v>
      </c>
      <c r="H411" s="84"/>
      <c r="I411" s="64">
        <f>I412</f>
        <v>3152219.9299999997</v>
      </c>
      <c r="J411" s="64">
        <f t="shared" si="177"/>
        <v>3152219.9299999997</v>
      </c>
      <c r="K411" s="64">
        <f t="shared" si="177"/>
        <v>3074196.91</v>
      </c>
    </row>
    <row r="412" spans="1:11" ht="46.8">
      <c r="A412" s="22" t="s">
        <v>323</v>
      </c>
      <c r="B412" s="83" t="s">
        <v>42</v>
      </c>
      <c r="C412" s="83" t="s">
        <v>32</v>
      </c>
      <c r="D412" s="83" t="s">
        <v>34</v>
      </c>
      <c r="E412" s="84">
        <v>4</v>
      </c>
      <c r="F412" s="83" t="s">
        <v>15</v>
      </c>
      <c r="G412" s="83" t="s">
        <v>16</v>
      </c>
      <c r="H412" s="84"/>
      <c r="I412" s="64">
        <f>I413+I415+I417+I419</f>
        <v>3152219.9299999997</v>
      </c>
      <c r="J412" s="64">
        <f t="shared" ref="J412:K412" si="178">J413+J415+J417+J419</f>
        <v>3152219.9299999997</v>
      </c>
      <c r="K412" s="64">
        <f t="shared" si="178"/>
        <v>3074196.91</v>
      </c>
    </row>
    <row r="413" spans="1:11">
      <c r="A413" s="22" t="s">
        <v>324</v>
      </c>
      <c r="B413" s="83" t="s">
        <v>42</v>
      </c>
      <c r="C413" s="83" t="s">
        <v>32</v>
      </c>
      <c r="D413" s="83" t="s">
        <v>34</v>
      </c>
      <c r="E413" s="84">
        <v>4</v>
      </c>
      <c r="F413" s="83" t="s">
        <v>15</v>
      </c>
      <c r="G413" s="83" t="s">
        <v>325</v>
      </c>
      <c r="H413" s="84"/>
      <c r="I413" s="64">
        <f>I414</f>
        <v>295000</v>
      </c>
      <c r="J413" s="64">
        <f t="shared" ref="J413:K413" si="179">J414</f>
        <v>295000</v>
      </c>
      <c r="K413" s="64">
        <f t="shared" si="179"/>
        <v>295000</v>
      </c>
    </row>
    <row r="414" spans="1:11" ht="31.2">
      <c r="A414" s="22" t="s">
        <v>22</v>
      </c>
      <c r="B414" s="83" t="s">
        <v>42</v>
      </c>
      <c r="C414" s="83" t="s">
        <v>32</v>
      </c>
      <c r="D414" s="83" t="s">
        <v>34</v>
      </c>
      <c r="E414" s="84">
        <v>4</v>
      </c>
      <c r="F414" s="83" t="s">
        <v>15</v>
      </c>
      <c r="G414" s="83" t="s">
        <v>325</v>
      </c>
      <c r="H414" s="84">
        <v>240</v>
      </c>
      <c r="I414" s="64">
        <f>'Прил 6'!J411</f>
        <v>295000</v>
      </c>
      <c r="J414" s="64">
        <f>'Прил 6'!K411</f>
        <v>295000</v>
      </c>
      <c r="K414" s="64">
        <f>'Прил 6'!L411</f>
        <v>295000</v>
      </c>
    </row>
    <row r="415" spans="1:11">
      <c r="A415" s="22" t="s">
        <v>404</v>
      </c>
      <c r="B415" s="83" t="s">
        <v>42</v>
      </c>
      <c r="C415" s="83" t="s">
        <v>32</v>
      </c>
      <c r="D415" s="83" t="s">
        <v>34</v>
      </c>
      <c r="E415" s="84">
        <v>4</v>
      </c>
      <c r="F415" s="83" t="s">
        <v>15</v>
      </c>
      <c r="G415" s="83" t="s">
        <v>403</v>
      </c>
      <c r="H415" s="84"/>
      <c r="I415" s="64">
        <f>I416</f>
        <v>45000</v>
      </c>
      <c r="J415" s="64">
        <f t="shared" ref="J415:K415" si="180">J416</f>
        <v>45000</v>
      </c>
      <c r="K415" s="64">
        <f t="shared" si="180"/>
        <v>45000</v>
      </c>
    </row>
    <row r="416" spans="1:11" ht="31.2">
      <c r="A416" s="22" t="s">
        <v>22</v>
      </c>
      <c r="B416" s="83" t="s">
        <v>42</v>
      </c>
      <c r="C416" s="83" t="s">
        <v>32</v>
      </c>
      <c r="D416" s="83" t="s">
        <v>34</v>
      </c>
      <c r="E416" s="84">
        <v>4</v>
      </c>
      <c r="F416" s="83" t="s">
        <v>15</v>
      </c>
      <c r="G416" s="83" t="s">
        <v>403</v>
      </c>
      <c r="H416" s="84">
        <v>240</v>
      </c>
      <c r="I416" s="64">
        <f>'Прил 6'!J413</f>
        <v>45000</v>
      </c>
      <c r="J416" s="64">
        <f>'Прил 6'!K413</f>
        <v>45000</v>
      </c>
      <c r="K416" s="64">
        <f>'Прил 6'!L413</f>
        <v>45000</v>
      </c>
    </row>
    <row r="417" spans="1:11">
      <c r="A417" s="22" t="s">
        <v>258</v>
      </c>
      <c r="B417" s="83" t="s">
        <v>42</v>
      </c>
      <c r="C417" s="83" t="s">
        <v>32</v>
      </c>
      <c r="D417" s="83" t="s">
        <v>34</v>
      </c>
      <c r="E417" s="84">
        <v>4</v>
      </c>
      <c r="F417" s="83" t="s">
        <v>15</v>
      </c>
      <c r="G417" s="83" t="s">
        <v>259</v>
      </c>
      <c r="H417" s="84"/>
      <c r="I417" s="64">
        <f>I418</f>
        <v>1312219.93</v>
      </c>
      <c r="J417" s="64">
        <f t="shared" ref="J417:K417" si="181">J418</f>
        <v>1312219.93</v>
      </c>
      <c r="K417" s="64">
        <f t="shared" si="181"/>
        <v>1234196.9099999999</v>
      </c>
    </row>
    <row r="418" spans="1:11" ht="31.2">
      <c r="A418" s="22" t="s">
        <v>22</v>
      </c>
      <c r="B418" s="83" t="s">
        <v>42</v>
      </c>
      <c r="C418" s="83" t="s">
        <v>32</v>
      </c>
      <c r="D418" s="83" t="s">
        <v>34</v>
      </c>
      <c r="E418" s="84">
        <v>4</v>
      </c>
      <c r="F418" s="83" t="s">
        <v>15</v>
      </c>
      <c r="G418" s="83" t="s">
        <v>259</v>
      </c>
      <c r="H418" s="84">
        <v>240</v>
      </c>
      <c r="I418" s="64">
        <f>'Прил 6'!J415</f>
        <v>1312219.93</v>
      </c>
      <c r="J418" s="64">
        <f>'Прил 6'!K415</f>
        <v>1312219.93</v>
      </c>
      <c r="K418" s="64">
        <f>'Прил 6'!L415</f>
        <v>1234196.9099999999</v>
      </c>
    </row>
    <row r="419" spans="1:11">
      <c r="A419" s="22" t="s">
        <v>326</v>
      </c>
      <c r="B419" s="83" t="s">
        <v>42</v>
      </c>
      <c r="C419" s="83" t="s">
        <v>32</v>
      </c>
      <c r="D419" s="83" t="s">
        <v>34</v>
      </c>
      <c r="E419" s="84">
        <v>4</v>
      </c>
      <c r="F419" s="83" t="s">
        <v>15</v>
      </c>
      <c r="G419" s="83" t="s">
        <v>327</v>
      </c>
      <c r="H419" s="84"/>
      <c r="I419" s="64">
        <f>I420</f>
        <v>1500000</v>
      </c>
      <c r="J419" s="64">
        <f t="shared" ref="J419:K419" si="182">J420</f>
        <v>1500000</v>
      </c>
      <c r="K419" s="64">
        <f t="shared" si="182"/>
        <v>1500000</v>
      </c>
    </row>
    <row r="420" spans="1:11" ht="31.2">
      <c r="A420" s="22" t="s">
        <v>22</v>
      </c>
      <c r="B420" s="83" t="s">
        <v>42</v>
      </c>
      <c r="C420" s="83" t="s">
        <v>32</v>
      </c>
      <c r="D420" s="83" t="s">
        <v>34</v>
      </c>
      <c r="E420" s="84">
        <v>4</v>
      </c>
      <c r="F420" s="83" t="s">
        <v>15</v>
      </c>
      <c r="G420" s="83" t="s">
        <v>327</v>
      </c>
      <c r="H420" s="84">
        <v>240</v>
      </c>
      <c r="I420" s="64">
        <f>'Прил 6'!J417</f>
        <v>1500000</v>
      </c>
      <c r="J420" s="64">
        <f>'Прил 6'!K417</f>
        <v>1500000</v>
      </c>
      <c r="K420" s="64">
        <f>'Прил 6'!L417</f>
        <v>1500000</v>
      </c>
    </row>
    <row r="421" spans="1:11">
      <c r="A421" s="29" t="s">
        <v>88</v>
      </c>
      <c r="B421" s="83" t="s">
        <v>45</v>
      </c>
      <c r="C421" s="83"/>
      <c r="D421" s="83"/>
      <c r="E421" s="84"/>
      <c r="F421" s="83"/>
      <c r="G421" s="83"/>
      <c r="H421" s="84"/>
      <c r="I421" s="64">
        <f>I422</f>
        <v>1300000</v>
      </c>
      <c r="J421" s="64">
        <f t="shared" ref="J421:K425" si="183">J422</f>
        <v>1300000</v>
      </c>
      <c r="K421" s="64">
        <f t="shared" si="183"/>
        <v>512573.06</v>
      </c>
    </row>
    <row r="422" spans="1:11">
      <c r="A422" s="21" t="s">
        <v>89</v>
      </c>
      <c r="B422" s="83" t="s">
        <v>45</v>
      </c>
      <c r="C422" s="83" t="s">
        <v>13</v>
      </c>
      <c r="D422" s="83"/>
      <c r="E422" s="84"/>
      <c r="F422" s="83"/>
      <c r="G422" s="83"/>
      <c r="H422" s="84"/>
      <c r="I422" s="64">
        <f>I423</f>
        <v>1300000</v>
      </c>
      <c r="J422" s="64">
        <f t="shared" si="183"/>
        <v>1300000</v>
      </c>
      <c r="K422" s="64">
        <f t="shared" si="183"/>
        <v>512573.06</v>
      </c>
    </row>
    <row r="423" spans="1:11" ht="46.8">
      <c r="A423" s="22" t="s">
        <v>102</v>
      </c>
      <c r="B423" s="83" t="s">
        <v>45</v>
      </c>
      <c r="C423" s="83" t="s">
        <v>13</v>
      </c>
      <c r="D423" s="83" t="s">
        <v>42</v>
      </c>
      <c r="E423" s="84">
        <v>0</v>
      </c>
      <c r="F423" s="83" t="s">
        <v>15</v>
      </c>
      <c r="G423" s="83" t="s">
        <v>16</v>
      </c>
      <c r="H423" s="84"/>
      <c r="I423" s="64">
        <f>I424</f>
        <v>1300000</v>
      </c>
      <c r="J423" s="64">
        <f t="shared" si="183"/>
        <v>1300000</v>
      </c>
      <c r="K423" s="64">
        <f t="shared" si="183"/>
        <v>512573.06</v>
      </c>
    </row>
    <row r="424" spans="1:11">
      <c r="A424" s="22" t="s">
        <v>103</v>
      </c>
      <c r="B424" s="83" t="s">
        <v>45</v>
      </c>
      <c r="C424" s="83" t="s">
        <v>13</v>
      </c>
      <c r="D424" s="83" t="s">
        <v>42</v>
      </c>
      <c r="E424" s="83" t="s">
        <v>14</v>
      </c>
      <c r="F424" s="83" t="s">
        <v>12</v>
      </c>
      <c r="G424" s="83" t="s">
        <v>16</v>
      </c>
      <c r="H424" s="83"/>
      <c r="I424" s="64">
        <f>I425</f>
        <v>1300000</v>
      </c>
      <c r="J424" s="64">
        <f t="shared" si="183"/>
        <v>1300000</v>
      </c>
      <c r="K424" s="64">
        <f t="shared" si="183"/>
        <v>512573.06</v>
      </c>
    </row>
    <row r="425" spans="1:11">
      <c r="A425" s="22" t="s">
        <v>103</v>
      </c>
      <c r="B425" s="83" t="s">
        <v>45</v>
      </c>
      <c r="C425" s="83" t="s">
        <v>13</v>
      </c>
      <c r="D425" s="83" t="s">
        <v>42</v>
      </c>
      <c r="E425" s="83" t="s">
        <v>14</v>
      </c>
      <c r="F425" s="83" t="s">
        <v>12</v>
      </c>
      <c r="G425" s="83" t="s">
        <v>104</v>
      </c>
      <c r="H425" s="83"/>
      <c r="I425" s="64">
        <f>I426</f>
        <v>1300000</v>
      </c>
      <c r="J425" s="64">
        <f t="shared" si="183"/>
        <v>1300000</v>
      </c>
      <c r="K425" s="64">
        <f t="shared" si="183"/>
        <v>512573.06</v>
      </c>
    </row>
    <row r="426" spans="1:11" ht="31.2">
      <c r="A426" s="22" t="s">
        <v>22</v>
      </c>
      <c r="B426" s="83" t="s">
        <v>45</v>
      </c>
      <c r="C426" s="83" t="s">
        <v>13</v>
      </c>
      <c r="D426" s="83" t="s">
        <v>42</v>
      </c>
      <c r="E426" s="83" t="s">
        <v>14</v>
      </c>
      <c r="F426" s="83" t="s">
        <v>12</v>
      </c>
      <c r="G426" s="83" t="s">
        <v>104</v>
      </c>
      <c r="H426" s="83" t="s">
        <v>23</v>
      </c>
      <c r="I426" s="64">
        <f>'Прил 6'!J423</f>
        <v>1300000</v>
      </c>
      <c r="J426" s="64">
        <f>'Прил 6'!K423</f>
        <v>1300000</v>
      </c>
      <c r="K426" s="64">
        <f>'Прил 6'!L423</f>
        <v>512573.06</v>
      </c>
    </row>
    <row r="427" spans="1:11">
      <c r="A427" s="34" t="s">
        <v>91</v>
      </c>
      <c r="B427" s="35"/>
      <c r="C427" s="36"/>
      <c r="D427" s="35"/>
      <c r="E427" s="36"/>
      <c r="F427" s="35"/>
      <c r="G427" s="37"/>
      <c r="H427" s="37"/>
      <c r="I427" s="65">
        <f>I13+I144+I151+I195+I227+I324+I330+I342+I395+I409+I421</f>
        <v>189904287.05000001</v>
      </c>
      <c r="J427" s="65">
        <f>J13+J144+J151+J195+J227+J324+J330+J342+J395+J409+J421</f>
        <v>190472795.74000001</v>
      </c>
      <c r="K427" s="65">
        <f>K13+K144+K151+K195+K227+K324+K330+K342+K395+K409+K421</f>
        <v>134235086.79999998</v>
      </c>
    </row>
  </sheetData>
  <mergeCells count="19">
    <mergeCell ref="G43:G44"/>
    <mergeCell ref="B43:B44"/>
    <mergeCell ref="C43:C44"/>
    <mergeCell ref="D43:D44"/>
    <mergeCell ref="E43:E44"/>
    <mergeCell ref="F43:F44"/>
    <mergeCell ref="J11:J12"/>
    <mergeCell ref="K11:K12"/>
    <mergeCell ref="H1:K1"/>
    <mergeCell ref="H2:K2"/>
    <mergeCell ref="H3:K3"/>
    <mergeCell ref="H4:K4"/>
    <mergeCell ref="H5:K5"/>
    <mergeCell ref="H6:K6"/>
    <mergeCell ref="A8:K8"/>
    <mergeCell ref="A11:A12"/>
    <mergeCell ref="B11:H11"/>
    <mergeCell ref="I11:I12"/>
    <mergeCell ref="D12:G12"/>
  </mergeCells>
  <pageMargins left="0.78740157480314965" right="0.19685039370078741" top="0.39370078740157483" bottom="0.39370078740157483" header="0.19685039370078741" footer="0.19685039370078741"/>
  <pageSetup paperSize="9" scale="83" fitToHeight="37"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80"/>
  </sheetPr>
  <dimension ref="A1:N454"/>
  <sheetViews>
    <sheetView view="pageBreakPreview" topLeftCell="A198" zoomScaleNormal="100" zoomScaleSheetLayoutView="100" workbookViewId="0">
      <selection activeCell="K439" sqref="K439"/>
    </sheetView>
  </sheetViews>
  <sheetFormatPr defaultColWidth="8.88671875" defaultRowHeight="15.6"/>
  <cols>
    <col min="1" max="1" width="55" style="6" customWidth="1"/>
    <col min="2" max="5" width="6.6640625" style="7" customWidth="1"/>
    <col min="6" max="7" width="4.44140625" style="7" customWidth="1"/>
    <col min="8" max="8" width="10" style="7" customWidth="1"/>
    <col min="9" max="9" width="7.6640625" style="7" customWidth="1"/>
    <col min="10" max="10" width="16.6640625" style="8" customWidth="1"/>
    <col min="11" max="11" width="15.44140625" style="1" customWidth="1"/>
    <col min="12" max="12" width="15" style="1" customWidth="1"/>
    <col min="13" max="13" width="13.88671875" style="1" bestFit="1" customWidth="1"/>
    <col min="14" max="14" width="15.6640625" style="1" bestFit="1" customWidth="1"/>
    <col min="15" max="16384" width="8.88671875" style="1"/>
  </cols>
  <sheetData>
    <row r="1" spans="1:13">
      <c r="C1" s="72"/>
      <c r="D1" s="72"/>
      <c r="E1" s="72"/>
      <c r="F1" s="72"/>
      <c r="G1" s="72"/>
      <c r="H1" s="72"/>
      <c r="I1" s="244" t="s">
        <v>92</v>
      </c>
      <c r="J1" s="244"/>
      <c r="K1" s="244"/>
      <c r="L1" s="244"/>
    </row>
    <row r="2" spans="1:13">
      <c r="C2" s="72"/>
      <c r="D2" s="72"/>
      <c r="E2" s="72"/>
      <c r="F2" s="72"/>
      <c r="G2" s="72"/>
      <c r="H2" s="72"/>
      <c r="I2" s="244" t="s">
        <v>3</v>
      </c>
      <c r="J2" s="244"/>
      <c r="K2" s="244"/>
      <c r="L2" s="244"/>
    </row>
    <row r="3" spans="1:13">
      <c r="C3" s="72"/>
      <c r="D3" s="72"/>
      <c r="E3" s="72"/>
      <c r="F3" s="72"/>
      <c r="G3" s="72"/>
      <c r="H3" s="72"/>
      <c r="I3" s="244" t="s">
        <v>486</v>
      </c>
      <c r="J3" s="244"/>
      <c r="K3" s="244"/>
      <c r="L3" s="244"/>
    </row>
    <row r="4" spans="1:13">
      <c r="C4" s="72"/>
      <c r="D4" s="72"/>
      <c r="E4" s="72"/>
      <c r="F4" s="72"/>
      <c r="G4" s="72"/>
      <c r="H4" s="72"/>
      <c r="I4" s="244" t="s">
        <v>487</v>
      </c>
      <c r="J4" s="244"/>
      <c r="K4" s="244"/>
      <c r="L4" s="244"/>
    </row>
    <row r="5" spans="1:13">
      <c r="C5" s="72"/>
      <c r="D5" s="72"/>
      <c r="E5" s="72"/>
      <c r="F5" s="72"/>
      <c r="G5" s="72"/>
      <c r="H5" s="72"/>
      <c r="I5" s="244" t="s">
        <v>488</v>
      </c>
      <c r="J5" s="244"/>
      <c r="K5" s="244"/>
      <c r="L5" s="244"/>
    </row>
    <row r="6" spans="1:13">
      <c r="C6" s="72"/>
      <c r="D6" s="72"/>
      <c r="E6" s="72"/>
      <c r="F6" s="72"/>
      <c r="G6" s="72"/>
      <c r="H6" s="72"/>
      <c r="I6" s="244" t="s">
        <v>489</v>
      </c>
      <c r="J6" s="244"/>
      <c r="K6" s="244"/>
      <c r="L6" s="244"/>
    </row>
    <row r="7" spans="1:13">
      <c r="C7" s="72"/>
      <c r="D7" s="72"/>
      <c r="E7" s="72"/>
      <c r="F7" s="72"/>
      <c r="G7" s="72"/>
      <c r="H7" s="72"/>
      <c r="I7" s="72"/>
      <c r="J7" s="72"/>
    </row>
    <row r="8" spans="1:13" ht="53.25" customHeight="1">
      <c r="A8" s="255" t="s">
        <v>614</v>
      </c>
      <c r="B8" s="255"/>
      <c r="C8" s="255"/>
      <c r="D8" s="255"/>
      <c r="E8" s="255"/>
      <c r="F8" s="255"/>
      <c r="G8" s="255"/>
      <c r="H8" s="255"/>
      <c r="I8" s="255"/>
      <c r="J8" s="255"/>
      <c r="K8" s="255"/>
      <c r="L8" s="255"/>
    </row>
    <row r="9" spans="1:13" ht="17.399999999999999">
      <c r="A9" s="38"/>
      <c r="B9" s="39"/>
      <c r="C9" s="39"/>
      <c r="D9" s="39"/>
      <c r="E9" s="39"/>
      <c r="F9" s="39"/>
      <c r="G9" s="39"/>
      <c r="H9" s="39"/>
      <c r="I9" s="39"/>
      <c r="J9" s="40"/>
    </row>
    <row r="10" spans="1:13">
      <c r="A10" s="203"/>
      <c r="B10" s="203"/>
      <c r="C10" s="203"/>
      <c r="D10" s="203"/>
      <c r="E10" s="203"/>
      <c r="F10" s="203"/>
      <c r="G10" s="203"/>
      <c r="H10" s="203"/>
      <c r="I10" s="203"/>
      <c r="J10" s="203"/>
      <c r="L10" s="204" t="s">
        <v>2</v>
      </c>
    </row>
    <row r="11" spans="1:13" ht="225" customHeight="1">
      <c r="A11" s="5" t="s">
        <v>6</v>
      </c>
      <c r="B11" s="5" t="s">
        <v>335</v>
      </c>
      <c r="C11" s="5" t="s">
        <v>336</v>
      </c>
      <c r="D11" s="5" t="s">
        <v>337</v>
      </c>
      <c r="E11" s="258" t="s">
        <v>9</v>
      </c>
      <c r="F11" s="259"/>
      <c r="G11" s="259"/>
      <c r="H11" s="260"/>
      <c r="I11" s="5" t="s">
        <v>338</v>
      </c>
      <c r="J11" s="102" t="s">
        <v>491</v>
      </c>
      <c r="K11" s="102" t="s">
        <v>490</v>
      </c>
      <c r="L11" s="102" t="s">
        <v>492</v>
      </c>
    </row>
    <row r="12" spans="1:13">
      <c r="A12" s="42" t="s">
        <v>340</v>
      </c>
      <c r="B12" s="43">
        <v>871</v>
      </c>
      <c r="C12" s="44" t="s">
        <v>341</v>
      </c>
      <c r="D12" s="44" t="s">
        <v>341</v>
      </c>
      <c r="E12" s="45" t="s">
        <v>341</v>
      </c>
      <c r="F12" s="46" t="s">
        <v>341</v>
      </c>
      <c r="G12" s="47" t="s">
        <v>341</v>
      </c>
      <c r="H12" s="48" t="s">
        <v>341</v>
      </c>
      <c r="I12" s="46"/>
      <c r="J12" s="66">
        <f>J13+J141+J148+J192+J224+J321+J327+J339+J392+J406+J418</f>
        <v>188663039.69</v>
      </c>
      <c r="K12" s="66">
        <f>K13+K141+K148+K192+K224+K321+K327+K339+K392+K406+K418</f>
        <v>189231548.38</v>
      </c>
      <c r="L12" s="66">
        <f>L13+L141+L148+L192+L224+L321+L327+L339+L392+L406+L418</f>
        <v>133013527.94</v>
      </c>
      <c r="M12" s="180">
        <f>J12-L12</f>
        <v>55649511.75</v>
      </c>
    </row>
    <row r="13" spans="1:13">
      <c r="A13" s="12" t="s">
        <v>11</v>
      </c>
      <c r="B13" s="49">
        <v>871</v>
      </c>
      <c r="C13" s="13">
        <v>1</v>
      </c>
      <c r="D13" s="44"/>
      <c r="E13" s="45"/>
      <c r="F13" s="46"/>
      <c r="G13" s="47"/>
      <c r="H13" s="48"/>
      <c r="I13" s="46"/>
      <c r="J13" s="62">
        <f>J14+J46+J51+J55+J60</f>
        <v>22666336.550000001</v>
      </c>
      <c r="K13" s="62">
        <f t="shared" ref="K13:L13" si="0">K14+K46+K51+K55+K60</f>
        <v>22666336.550000001</v>
      </c>
      <c r="L13" s="62">
        <f t="shared" si="0"/>
        <v>19652967.329999998</v>
      </c>
      <c r="M13" s="180">
        <f t="shared" ref="M13:M76" si="1">J13-L13</f>
        <v>3013369.2200000025</v>
      </c>
    </row>
    <row r="14" spans="1:13" ht="62.4">
      <c r="A14" s="21" t="s">
        <v>30</v>
      </c>
      <c r="B14" s="50">
        <v>871</v>
      </c>
      <c r="C14" s="19" t="s">
        <v>12</v>
      </c>
      <c r="D14" s="20" t="s">
        <v>31</v>
      </c>
      <c r="E14" s="19" t="s">
        <v>93</v>
      </c>
      <c r="F14" s="20"/>
      <c r="G14" s="19"/>
      <c r="H14" s="19"/>
      <c r="I14" s="20" t="s">
        <v>94</v>
      </c>
      <c r="J14" s="64">
        <f>J15+J19+J33</f>
        <v>12361982.23</v>
      </c>
      <c r="K14" s="64">
        <f t="shared" ref="K14:L14" si="2">K15+K19+K33</f>
        <v>12361982.23</v>
      </c>
      <c r="L14" s="64">
        <f t="shared" si="2"/>
        <v>12264683.23</v>
      </c>
      <c r="M14" s="180">
        <f t="shared" si="1"/>
        <v>97299</v>
      </c>
    </row>
    <row r="15" spans="1:13" ht="62.4" hidden="1">
      <c r="A15" s="21" t="s">
        <v>102</v>
      </c>
      <c r="B15" s="50">
        <v>871</v>
      </c>
      <c r="C15" s="19" t="s">
        <v>12</v>
      </c>
      <c r="D15" s="19" t="s">
        <v>31</v>
      </c>
      <c r="E15" s="19" t="s">
        <v>42</v>
      </c>
      <c r="F15" s="20">
        <v>0</v>
      </c>
      <c r="G15" s="19" t="s">
        <v>15</v>
      </c>
      <c r="H15" s="19" t="s">
        <v>16</v>
      </c>
      <c r="I15" s="20"/>
      <c r="J15" s="64">
        <f>J16</f>
        <v>0</v>
      </c>
      <c r="K15" s="64">
        <f t="shared" ref="K15:L17" si="3">K16</f>
        <v>0</v>
      </c>
      <c r="L15" s="64">
        <f t="shared" si="3"/>
        <v>0</v>
      </c>
      <c r="M15" s="180">
        <f t="shared" si="1"/>
        <v>0</v>
      </c>
    </row>
    <row r="16" spans="1:13" ht="31.2" hidden="1">
      <c r="A16" s="22" t="s">
        <v>103</v>
      </c>
      <c r="B16" s="20">
        <v>871</v>
      </c>
      <c r="C16" s="19" t="s">
        <v>12</v>
      </c>
      <c r="D16" s="19" t="s">
        <v>31</v>
      </c>
      <c r="E16" s="19" t="s">
        <v>42</v>
      </c>
      <c r="F16" s="19" t="s">
        <v>14</v>
      </c>
      <c r="G16" s="19" t="s">
        <v>12</v>
      </c>
      <c r="H16" s="19" t="s">
        <v>16</v>
      </c>
      <c r="I16" s="19"/>
      <c r="J16" s="64">
        <f>J17</f>
        <v>0</v>
      </c>
      <c r="K16" s="64">
        <f t="shared" si="3"/>
        <v>0</v>
      </c>
      <c r="L16" s="64">
        <f t="shared" si="3"/>
        <v>0</v>
      </c>
      <c r="M16" s="180">
        <f t="shared" si="1"/>
        <v>0</v>
      </c>
    </row>
    <row r="17" spans="1:13" ht="31.2" hidden="1">
      <c r="A17" s="22" t="s">
        <v>103</v>
      </c>
      <c r="B17" s="20">
        <v>871</v>
      </c>
      <c r="C17" s="19" t="s">
        <v>12</v>
      </c>
      <c r="D17" s="19" t="s">
        <v>31</v>
      </c>
      <c r="E17" s="19" t="s">
        <v>42</v>
      </c>
      <c r="F17" s="19" t="s">
        <v>14</v>
      </c>
      <c r="G17" s="19" t="s">
        <v>12</v>
      </c>
      <c r="H17" s="19" t="s">
        <v>104</v>
      </c>
      <c r="I17" s="19"/>
      <c r="J17" s="64">
        <f>J18</f>
        <v>0</v>
      </c>
      <c r="K17" s="64">
        <f t="shared" si="3"/>
        <v>0</v>
      </c>
      <c r="L17" s="64">
        <f t="shared" si="3"/>
        <v>0</v>
      </c>
      <c r="M17" s="180">
        <f t="shared" si="1"/>
        <v>0</v>
      </c>
    </row>
    <row r="18" spans="1:13" ht="31.2" hidden="1">
      <c r="A18" s="22" t="s">
        <v>22</v>
      </c>
      <c r="B18" s="20">
        <v>871</v>
      </c>
      <c r="C18" s="19" t="s">
        <v>12</v>
      </c>
      <c r="D18" s="19" t="s">
        <v>31</v>
      </c>
      <c r="E18" s="19" t="s">
        <v>42</v>
      </c>
      <c r="F18" s="19" t="s">
        <v>14</v>
      </c>
      <c r="G18" s="19" t="s">
        <v>12</v>
      </c>
      <c r="H18" s="19" t="s">
        <v>104</v>
      </c>
      <c r="I18" s="19" t="s">
        <v>23</v>
      </c>
      <c r="J18" s="64"/>
      <c r="K18" s="64"/>
      <c r="L18" s="64"/>
      <c r="M18" s="180">
        <f t="shared" si="1"/>
        <v>0</v>
      </c>
    </row>
    <row r="19" spans="1:13">
      <c r="A19" s="21" t="s">
        <v>105</v>
      </c>
      <c r="B19" s="20">
        <v>871</v>
      </c>
      <c r="C19" s="19" t="s">
        <v>12</v>
      </c>
      <c r="D19" s="20" t="s">
        <v>31</v>
      </c>
      <c r="E19" s="19">
        <v>92</v>
      </c>
      <c r="F19" s="20">
        <v>0</v>
      </c>
      <c r="G19" s="19" t="s">
        <v>15</v>
      </c>
      <c r="H19" s="19" t="s">
        <v>16</v>
      </c>
      <c r="I19" s="20"/>
      <c r="J19" s="64">
        <f>J20+J23</f>
        <v>11554082.23</v>
      </c>
      <c r="K19" s="64">
        <f t="shared" ref="K19:L19" si="4">K20+K23</f>
        <v>11554082.23</v>
      </c>
      <c r="L19" s="64">
        <f t="shared" si="4"/>
        <v>11457283.23</v>
      </c>
      <c r="M19" s="180">
        <f t="shared" si="1"/>
        <v>96799</v>
      </c>
    </row>
    <row r="20" spans="1:13">
      <c r="A20" s="23" t="s">
        <v>106</v>
      </c>
      <c r="B20" s="20">
        <v>871</v>
      </c>
      <c r="C20" s="19" t="s">
        <v>12</v>
      </c>
      <c r="D20" s="20" t="s">
        <v>31</v>
      </c>
      <c r="E20" s="19">
        <v>92</v>
      </c>
      <c r="F20" s="20">
        <v>1</v>
      </c>
      <c r="G20" s="19" t="s">
        <v>15</v>
      </c>
      <c r="H20" s="19" t="s">
        <v>16</v>
      </c>
      <c r="I20" s="20"/>
      <c r="J20" s="64">
        <f>J21</f>
        <v>1268438.55</v>
      </c>
      <c r="K20" s="64">
        <f t="shared" ref="K20:L21" si="5">K21</f>
        <v>1268438.55</v>
      </c>
      <c r="L20" s="64">
        <f t="shared" si="5"/>
        <v>1266247.67</v>
      </c>
      <c r="M20" s="180">
        <f t="shared" si="1"/>
        <v>2190.8800000001211</v>
      </c>
    </row>
    <row r="21" spans="1:13" ht="78">
      <c r="A21" s="23" t="s">
        <v>107</v>
      </c>
      <c r="B21" s="20">
        <v>871</v>
      </c>
      <c r="C21" s="19" t="s">
        <v>12</v>
      </c>
      <c r="D21" s="20" t="s">
        <v>31</v>
      </c>
      <c r="E21" s="19">
        <v>92</v>
      </c>
      <c r="F21" s="20">
        <v>1</v>
      </c>
      <c r="G21" s="19" t="s">
        <v>15</v>
      </c>
      <c r="H21" s="19" t="s">
        <v>98</v>
      </c>
      <c r="I21" s="20"/>
      <c r="J21" s="64">
        <f>J22</f>
        <v>1268438.55</v>
      </c>
      <c r="K21" s="64">
        <f t="shared" si="5"/>
        <v>1268438.55</v>
      </c>
      <c r="L21" s="64">
        <f t="shared" si="5"/>
        <v>1266247.67</v>
      </c>
      <c r="M21" s="180">
        <f t="shared" si="1"/>
        <v>2190.8800000001211</v>
      </c>
    </row>
    <row r="22" spans="1:13" ht="31.2">
      <c r="A22" s="21" t="s">
        <v>99</v>
      </c>
      <c r="B22" s="20">
        <v>871</v>
      </c>
      <c r="C22" s="19" t="s">
        <v>12</v>
      </c>
      <c r="D22" s="20" t="s">
        <v>31</v>
      </c>
      <c r="E22" s="19">
        <v>92</v>
      </c>
      <c r="F22" s="20">
        <v>1</v>
      </c>
      <c r="G22" s="19" t="s">
        <v>15</v>
      </c>
      <c r="H22" s="19" t="s">
        <v>98</v>
      </c>
      <c r="I22" s="20">
        <v>120</v>
      </c>
      <c r="J22" s="64">
        <v>1268438.55</v>
      </c>
      <c r="K22" s="64">
        <f>J22</f>
        <v>1268438.55</v>
      </c>
      <c r="L22" s="64">
        <f>974837.62+291410.05</f>
        <v>1266247.67</v>
      </c>
      <c r="M22" s="180">
        <f t="shared" si="1"/>
        <v>2190.8800000001211</v>
      </c>
    </row>
    <row r="23" spans="1:13">
      <c r="A23" s="22" t="s">
        <v>108</v>
      </c>
      <c r="B23" s="20">
        <v>871</v>
      </c>
      <c r="C23" s="19" t="s">
        <v>12</v>
      </c>
      <c r="D23" s="20" t="s">
        <v>31</v>
      </c>
      <c r="E23" s="19">
        <v>92</v>
      </c>
      <c r="F23" s="20">
        <v>2</v>
      </c>
      <c r="G23" s="19" t="s">
        <v>15</v>
      </c>
      <c r="H23" s="19" t="s">
        <v>16</v>
      </c>
      <c r="I23" s="20"/>
      <c r="J23" s="64">
        <f>J24+J26+J30</f>
        <v>10285643.68</v>
      </c>
      <c r="K23" s="64">
        <f t="shared" ref="K23:L23" si="6">K24+K26+K30</f>
        <v>10285643.68</v>
      </c>
      <c r="L23" s="64">
        <f t="shared" si="6"/>
        <v>10191035.560000001</v>
      </c>
      <c r="M23" s="180">
        <f t="shared" si="1"/>
        <v>94608.11999999918</v>
      </c>
    </row>
    <row r="24" spans="1:13" ht="78">
      <c r="A24" s="22" t="s">
        <v>107</v>
      </c>
      <c r="B24" s="20">
        <v>871</v>
      </c>
      <c r="C24" s="19" t="s">
        <v>12</v>
      </c>
      <c r="D24" s="20" t="s">
        <v>31</v>
      </c>
      <c r="E24" s="19">
        <v>92</v>
      </c>
      <c r="F24" s="20">
        <v>2</v>
      </c>
      <c r="G24" s="19" t="s">
        <v>15</v>
      </c>
      <c r="H24" s="19" t="s">
        <v>98</v>
      </c>
      <c r="I24" s="20"/>
      <c r="J24" s="64">
        <f>J25</f>
        <v>9595322.879999999</v>
      </c>
      <c r="K24" s="64">
        <f t="shared" ref="K24:L24" si="7">K25</f>
        <v>9595322.879999999</v>
      </c>
      <c r="L24" s="64">
        <f t="shared" si="7"/>
        <v>9554109.6600000001</v>
      </c>
      <c r="M24" s="180">
        <f t="shared" si="1"/>
        <v>41213.219999998808</v>
      </c>
    </row>
    <row r="25" spans="1:13" ht="31.2">
      <c r="A25" s="21" t="s">
        <v>99</v>
      </c>
      <c r="B25" s="20">
        <v>871</v>
      </c>
      <c r="C25" s="19" t="s">
        <v>12</v>
      </c>
      <c r="D25" s="20" t="s">
        <v>31</v>
      </c>
      <c r="E25" s="19">
        <v>92</v>
      </c>
      <c r="F25" s="20">
        <v>2</v>
      </c>
      <c r="G25" s="19" t="s">
        <v>15</v>
      </c>
      <c r="H25" s="19" t="s">
        <v>98</v>
      </c>
      <c r="I25" s="20">
        <v>120</v>
      </c>
      <c r="J25" s="64">
        <f>7046177.33+2127945.55+181200+240000</f>
        <v>9595322.879999999</v>
      </c>
      <c r="K25" s="64">
        <f>J25</f>
        <v>9595322.879999999</v>
      </c>
      <c r="L25" s="64">
        <f>7360055+2194054.66</f>
        <v>9554109.6600000001</v>
      </c>
      <c r="M25" s="180">
        <f t="shared" si="1"/>
        <v>41213.219999998808</v>
      </c>
    </row>
    <row r="26" spans="1:13" ht="78">
      <c r="A26" s="22" t="s">
        <v>109</v>
      </c>
      <c r="B26" s="20">
        <v>871</v>
      </c>
      <c r="C26" s="19" t="s">
        <v>12</v>
      </c>
      <c r="D26" s="20" t="s">
        <v>31</v>
      </c>
      <c r="E26" s="19">
        <v>92</v>
      </c>
      <c r="F26" s="20">
        <v>2</v>
      </c>
      <c r="G26" s="19" t="s">
        <v>15</v>
      </c>
      <c r="H26" s="19" t="s">
        <v>101</v>
      </c>
      <c r="I26" s="20"/>
      <c r="J26" s="64">
        <f>SUM(J27:J29)</f>
        <v>630320.80000000005</v>
      </c>
      <c r="K26" s="64">
        <f t="shared" ref="K26:L26" si="8">SUM(K27:K29)</f>
        <v>630320.80000000005</v>
      </c>
      <c r="L26" s="64">
        <f t="shared" si="8"/>
        <v>576925.9</v>
      </c>
      <c r="M26" s="180">
        <f t="shared" si="1"/>
        <v>53394.900000000023</v>
      </c>
    </row>
    <row r="27" spans="1:13" ht="31.2">
      <c r="A27" s="21" t="s">
        <v>99</v>
      </c>
      <c r="B27" s="20">
        <v>871</v>
      </c>
      <c r="C27" s="19" t="s">
        <v>12</v>
      </c>
      <c r="D27" s="20" t="s">
        <v>31</v>
      </c>
      <c r="E27" s="19">
        <v>92</v>
      </c>
      <c r="F27" s="20">
        <v>2</v>
      </c>
      <c r="G27" s="19" t="s">
        <v>15</v>
      </c>
      <c r="H27" s="19" t="s">
        <v>101</v>
      </c>
      <c r="I27" s="20">
        <v>120</v>
      </c>
      <c r="J27" s="64">
        <f>14400-9600</f>
        <v>4800</v>
      </c>
      <c r="K27" s="64">
        <f>J27</f>
        <v>4800</v>
      </c>
      <c r="L27" s="64">
        <v>4800</v>
      </c>
      <c r="M27" s="180">
        <f t="shared" si="1"/>
        <v>0</v>
      </c>
    </row>
    <row r="28" spans="1:13" ht="31.2">
      <c r="A28" s="22" t="s">
        <v>22</v>
      </c>
      <c r="B28" s="20">
        <v>871</v>
      </c>
      <c r="C28" s="19" t="s">
        <v>12</v>
      </c>
      <c r="D28" s="20" t="s">
        <v>31</v>
      </c>
      <c r="E28" s="19">
        <v>92</v>
      </c>
      <c r="F28" s="20">
        <v>2</v>
      </c>
      <c r="G28" s="19" t="s">
        <v>15</v>
      </c>
      <c r="H28" s="19" t="s">
        <v>101</v>
      </c>
      <c r="I28" s="20">
        <v>240</v>
      </c>
      <c r="J28" s="64">
        <f>791920.8+66811-240000</f>
        <v>618731.80000000005</v>
      </c>
      <c r="K28" s="64">
        <f>J28-2347</f>
        <v>616384.80000000005</v>
      </c>
      <c r="L28" s="64">
        <f>85947.39+477042.51</f>
        <v>562989.9</v>
      </c>
      <c r="M28" s="180">
        <f t="shared" si="1"/>
        <v>55741.900000000023</v>
      </c>
    </row>
    <row r="29" spans="1:13">
      <c r="A29" s="22" t="s">
        <v>24</v>
      </c>
      <c r="B29" s="20">
        <v>871</v>
      </c>
      <c r="C29" s="19" t="s">
        <v>12</v>
      </c>
      <c r="D29" s="20" t="s">
        <v>31</v>
      </c>
      <c r="E29" s="19">
        <v>92</v>
      </c>
      <c r="F29" s="20">
        <v>2</v>
      </c>
      <c r="G29" s="19" t="s">
        <v>15</v>
      </c>
      <c r="H29" s="19" t="s">
        <v>101</v>
      </c>
      <c r="I29" s="20">
        <v>850</v>
      </c>
      <c r="J29" s="64">
        <f>14000-7211</f>
        <v>6789</v>
      </c>
      <c r="K29" s="64">
        <f>J29+2347</f>
        <v>9136</v>
      </c>
      <c r="L29" s="64">
        <f>9132+4</f>
        <v>9136</v>
      </c>
      <c r="M29" s="180">
        <f t="shared" si="1"/>
        <v>-2347</v>
      </c>
    </row>
    <row r="30" spans="1:13" ht="62.4">
      <c r="A30" s="22" t="s">
        <v>406</v>
      </c>
      <c r="B30" s="78">
        <v>871</v>
      </c>
      <c r="C30" s="77" t="s">
        <v>12</v>
      </c>
      <c r="D30" s="78" t="s">
        <v>31</v>
      </c>
      <c r="E30" s="77">
        <v>92</v>
      </c>
      <c r="F30" s="78">
        <v>2</v>
      </c>
      <c r="G30" s="77" t="s">
        <v>15</v>
      </c>
      <c r="H30" s="77" t="s">
        <v>405</v>
      </c>
      <c r="I30" s="78"/>
      <c r="J30" s="64">
        <f>SUM(J31:J32)</f>
        <v>60000</v>
      </c>
      <c r="K30" s="64">
        <f t="shared" ref="K30:L30" si="9">SUM(K31:K32)</f>
        <v>60000</v>
      </c>
      <c r="L30" s="64">
        <f t="shared" si="9"/>
        <v>60000</v>
      </c>
      <c r="M30" s="180">
        <f t="shared" si="1"/>
        <v>0</v>
      </c>
    </row>
    <row r="31" spans="1:13" ht="31.2">
      <c r="A31" s="21" t="s">
        <v>99</v>
      </c>
      <c r="B31" s="78">
        <v>871</v>
      </c>
      <c r="C31" s="77" t="s">
        <v>12</v>
      </c>
      <c r="D31" s="78" t="s">
        <v>31</v>
      </c>
      <c r="E31" s="77">
        <v>92</v>
      </c>
      <c r="F31" s="78">
        <v>2</v>
      </c>
      <c r="G31" s="77" t="s">
        <v>15</v>
      </c>
      <c r="H31" s="77" t="s">
        <v>405</v>
      </c>
      <c r="I31" s="78">
        <v>120</v>
      </c>
      <c r="J31" s="64">
        <f>30000-705</f>
        <v>29295</v>
      </c>
      <c r="K31" s="64">
        <f>J31</f>
        <v>29295</v>
      </c>
      <c r="L31" s="64">
        <f>22500+6795</f>
        <v>29295</v>
      </c>
      <c r="M31" s="180">
        <f t="shared" si="1"/>
        <v>0</v>
      </c>
    </row>
    <row r="32" spans="1:13" ht="31.2">
      <c r="A32" s="22" t="s">
        <v>22</v>
      </c>
      <c r="B32" s="78">
        <v>871</v>
      </c>
      <c r="C32" s="77" t="s">
        <v>12</v>
      </c>
      <c r="D32" s="78" t="s">
        <v>31</v>
      </c>
      <c r="E32" s="77">
        <v>92</v>
      </c>
      <c r="F32" s="78">
        <v>2</v>
      </c>
      <c r="G32" s="77" t="s">
        <v>15</v>
      </c>
      <c r="H32" s="77" t="s">
        <v>405</v>
      </c>
      <c r="I32" s="78">
        <v>240</v>
      </c>
      <c r="J32" s="64">
        <f>30000+705</f>
        <v>30705</v>
      </c>
      <c r="K32" s="64">
        <f>J32</f>
        <v>30705</v>
      </c>
      <c r="L32" s="64">
        <v>30705</v>
      </c>
      <c r="M32" s="180">
        <f t="shared" si="1"/>
        <v>0</v>
      </c>
    </row>
    <row r="33" spans="1:13">
      <c r="A33" s="22" t="s">
        <v>110</v>
      </c>
      <c r="B33" s="20">
        <v>871</v>
      </c>
      <c r="C33" s="19" t="s">
        <v>12</v>
      </c>
      <c r="D33" s="20" t="s">
        <v>31</v>
      </c>
      <c r="E33" s="19">
        <v>97</v>
      </c>
      <c r="F33" s="20">
        <v>0</v>
      </c>
      <c r="G33" s="19" t="s">
        <v>15</v>
      </c>
      <c r="H33" s="19" t="s">
        <v>16</v>
      </c>
      <c r="I33" s="20"/>
      <c r="J33" s="64">
        <f>J34</f>
        <v>807900</v>
      </c>
      <c r="K33" s="64">
        <f t="shared" ref="K33:L33" si="10">K34</f>
        <v>807900</v>
      </c>
      <c r="L33" s="64">
        <f t="shared" si="10"/>
        <v>807400</v>
      </c>
      <c r="M33" s="180">
        <f t="shared" si="1"/>
        <v>500</v>
      </c>
    </row>
    <row r="34" spans="1:13" ht="78">
      <c r="A34" s="22" t="s">
        <v>111</v>
      </c>
      <c r="B34" s="20">
        <v>871</v>
      </c>
      <c r="C34" s="19" t="s">
        <v>12</v>
      </c>
      <c r="D34" s="20" t="s">
        <v>31</v>
      </c>
      <c r="E34" s="19">
        <v>97</v>
      </c>
      <c r="F34" s="20">
        <v>2</v>
      </c>
      <c r="G34" s="19" t="s">
        <v>15</v>
      </c>
      <c r="H34" s="19" t="s">
        <v>16</v>
      </c>
      <c r="I34" s="20"/>
      <c r="J34" s="64">
        <f>J38+J40+J42+J44</f>
        <v>807900</v>
      </c>
      <c r="K34" s="64">
        <f t="shared" ref="K34:L34" si="11">K38+K40+K42+K44</f>
        <v>807900</v>
      </c>
      <c r="L34" s="64">
        <f t="shared" si="11"/>
        <v>807400</v>
      </c>
      <c r="M34" s="180">
        <f t="shared" si="1"/>
        <v>500</v>
      </c>
    </row>
    <row r="35" spans="1:13" ht="202.8">
      <c r="A35" s="22" t="s">
        <v>342</v>
      </c>
      <c r="B35" s="20"/>
      <c r="C35" s="19"/>
      <c r="D35" s="20"/>
      <c r="E35" s="19"/>
      <c r="F35" s="20"/>
      <c r="G35" s="19"/>
      <c r="H35" s="19"/>
      <c r="I35" s="20"/>
      <c r="J35" s="64"/>
      <c r="K35" s="64"/>
      <c r="L35" s="64"/>
      <c r="M35" s="180">
        <f t="shared" si="1"/>
        <v>0</v>
      </c>
    </row>
    <row r="36" spans="1:13" ht="218.4">
      <c r="A36" s="22" t="s">
        <v>343</v>
      </c>
      <c r="B36" s="20"/>
      <c r="C36" s="19"/>
      <c r="D36" s="20"/>
      <c r="E36" s="19"/>
      <c r="F36" s="20"/>
      <c r="G36" s="19"/>
      <c r="H36" s="19"/>
      <c r="I36" s="20"/>
      <c r="J36" s="64"/>
      <c r="K36" s="64"/>
      <c r="L36" s="64"/>
      <c r="M36" s="180">
        <f t="shared" si="1"/>
        <v>0</v>
      </c>
    </row>
    <row r="37" spans="1:13" ht="124.8">
      <c r="A37" s="22" t="s">
        <v>344</v>
      </c>
      <c r="B37" s="20"/>
      <c r="C37" s="19"/>
      <c r="D37" s="20"/>
      <c r="E37" s="19"/>
      <c r="F37" s="20"/>
      <c r="G37" s="19"/>
      <c r="H37" s="19"/>
      <c r="I37" s="20"/>
      <c r="J37" s="64"/>
      <c r="K37" s="64"/>
      <c r="L37" s="64"/>
      <c r="M37" s="180">
        <f t="shared" si="1"/>
        <v>0</v>
      </c>
    </row>
    <row r="38" spans="1:13" ht="62.4">
      <c r="A38" s="22" t="s">
        <v>345</v>
      </c>
      <c r="B38" s="19" t="s">
        <v>5</v>
      </c>
      <c r="C38" s="19" t="s">
        <v>12</v>
      </c>
      <c r="D38" s="19" t="s">
        <v>31</v>
      </c>
      <c r="E38" s="19" t="s">
        <v>113</v>
      </c>
      <c r="F38" s="20">
        <v>2</v>
      </c>
      <c r="G38" s="19" t="s">
        <v>15</v>
      </c>
      <c r="H38" s="19" t="s">
        <v>114</v>
      </c>
      <c r="I38" s="20"/>
      <c r="J38" s="64">
        <f>J39</f>
        <v>388000</v>
      </c>
      <c r="K38" s="64">
        <f t="shared" ref="K38:L38" si="12">K39</f>
        <v>388000</v>
      </c>
      <c r="L38" s="64">
        <f t="shared" si="12"/>
        <v>387500</v>
      </c>
      <c r="M38" s="180">
        <f t="shared" si="1"/>
        <v>500</v>
      </c>
    </row>
    <row r="39" spans="1:13">
      <c r="A39" s="27" t="s">
        <v>116</v>
      </c>
      <c r="B39" s="19" t="s">
        <v>5</v>
      </c>
      <c r="C39" s="19" t="s">
        <v>12</v>
      </c>
      <c r="D39" s="19" t="s">
        <v>31</v>
      </c>
      <c r="E39" s="19" t="s">
        <v>113</v>
      </c>
      <c r="F39" s="20">
        <v>2</v>
      </c>
      <c r="G39" s="19" t="s">
        <v>15</v>
      </c>
      <c r="H39" s="19" t="s">
        <v>114</v>
      </c>
      <c r="I39" s="20">
        <v>540</v>
      </c>
      <c r="J39" s="64">
        <v>388000</v>
      </c>
      <c r="K39" s="64">
        <f>J39</f>
        <v>388000</v>
      </c>
      <c r="L39" s="64">
        <v>387500</v>
      </c>
      <c r="M39" s="180">
        <f t="shared" si="1"/>
        <v>500</v>
      </c>
    </row>
    <row r="40" spans="1:13" ht="46.8">
      <c r="A40" s="22" t="s">
        <v>117</v>
      </c>
      <c r="B40" s="20">
        <v>871</v>
      </c>
      <c r="C40" s="19" t="s">
        <v>12</v>
      </c>
      <c r="D40" s="20" t="s">
        <v>31</v>
      </c>
      <c r="E40" s="19">
        <v>97</v>
      </c>
      <c r="F40" s="20">
        <v>2</v>
      </c>
      <c r="G40" s="19" t="s">
        <v>15</v>
      </c>
      <c r="H40" s="19" t="s">
        <v>118</v>
      </c>
      <c r="I40" s="20"/>
      <c r="J40" s="64">
        <f>J41</f>
        <v>142800</v>
      </c>
      <c r="K40" s="64">
        <f t="shared" ref="K40:L40" si="13">K41</f>
        <v>142800</v>
      </c>
      <c r="L40" s="64">
        <f t="shared" si="13"/>
        <v>142800</v>
      </c>
      <c r="M40" s="180">
        <f t="shared" si="1"/>
        <v>0</v>
      </c>
    </row>
    <row r="41" spans="1:13">
      <c r="A41" s="27" t="s">
        <v>116</v>
      </c>
      <c r="B41" s="20">
        <v>871</v>
      </c>
      <c r="C41" s="19" t="s">
        <v>12</v>
      </c>
      <c r="D41" s="20" t="s">
        <v>31</v>
      </c>
      <c r="E41" s="19">
        <v>97</v>
      </c>
      <c r="F41" s="20">
        <v>2</v>
      </c>
      <c r="G41" s="19" t="s">
        <v>15</v>
      </c>
      <c r="H41" s="19" t="s">
        <v>118</v>
      </c>
      <c r="I41" s="20">
        <v>540</v>
      </c>
      <c r="J41" s="64">
        <v>142800</v>
      </c>
      <c r="K41" s="64">
        <f>J41</f>
        <v>142800</v>
      </c>
      <c r="L41" s="64">
        <v>142800</v>
      </c>
      <c r="M41" s="180">
        <f t="shared" si="1"/>
        <v>0</v>
      </c>
    </row>
    <row r="42" spans="1:13" ht="62.4">
      <c r="A42" s="22" t="s">
        <v>119</v>
      </c>
      <c r="B42" s="20">
        <v>871</v>
      </c>
      <c r="C42" s="19" t="s">
        <v>12</v>
      </c>
      <c r="D42" s="20" t="s">
        <v>31</v>
      </c>
      <c r="E42" s="19">
        <v>97</v>
      </c>
      <c r="F42" s="20">
        <v>2</v>
      </c>
      <c r="G42" s="19" t="s">
        <v>15</v>
      </c>
      <c r="H42" s="19" t="s">
        <v>120</v>
      </c>
      <c r="I42" s="20"/>
      <c r="J42" s="64">
        <f>J43</f>
        <v>109200</v>
      </c>
      <c r="K42" s="64">
        <f t="shared" ref="K42:L42" si="14">K43</f>
        <v>109200</v>
      </c>
      <c r="L42" s="64">
        <f t="shared" si="14"/>
        <v>109200</v>
      </c>
      <c r="M42" s="180">
        <f t="shared" si="1"/>
        <v>0</v>
      </c>
    </row>
    <row r="43" spans="1:13">
      <c r="A43" s="27" t="s">
        <v>116</v>
      </c>
      <c r="B43" s="20">
        <v>871</v>
      </c>
      <c r="C43" s="19" t="s">
        <v>12</v>
      </c>
      <c r="D43" s="20" t="s">
        <v>31</v>
      </c>
      <c r="E43" s="19">
        <v>97</v>
      </c>
      <c r="F43" s="20">
        <v>2</v>
      </c>
      <c r="G43" s="19" t="s">
        <v>15</v>
      </c>
      <c r="H43" s="19" t="s">
        <v>120</v>
      </c>
      <c r="I43" s="20">
        <v>540</v>
      </c>
      <c r="J43" s="64">
        <v>109200</v>
      </c>
      <c r="K43" s="64">
        <f>J43</f>
        <v>109200</v>
      </c>
      <c r="L43" s="64">
        <v>109200</v>
      </c>
      <c r="M43" s="180">
        <f t="shared" si="1"/>
        <v>0</v>
      </c>
    </row>
    <row r="44" spans="1:13" ht="78">
      <c r="A44" s="22" t="s">
        <v>121</v>
      </c>
      <c r="B44" s="20">
        <v>871</v>
      </c>
      <c r="C44" s="19" t="s">
        <v>12</v>
      </c>
      <c r="D44" s="20" t="s">
        <v>31</v>
      </c>
      <c r="E44" s="19">
        <v>97</v>
      </c>
      <c r="F44" s="20">
        <v>2</v>
      </c>
      <c r="G44" s="19" t="s">
        <v>15</v>
      </c>
      <c r="H44" s="19" t="s">
        <v>122</v>
      </c>
      <c r="I44" s="20"/>
      <c r="J44" s="64">
        <f>J45</f>
        <v>167900</v>
      </c>
      <c r="K44" s="64">
        <f t="shared" ref="K44:L44" si="15">K45</f>
        <v>167900</v>
      </c>
      <c r="L44" s="64">
        <f t="shared" si="15"/>
        <v>167900</v>
      </c>
      <c r="M44" s="180">
        <f t="shared" si="1"/>
        <v>0</v>
      </c>
    </row>
    <row r="45" spans="1:13">
      <c r="A45" s="27" t="s">
        <v>116</v>
      </c>
      <c r="B45" s="20">
        <v>871</v>
      </c>
      <c r="C45" s="19" t="s">
        <v>12</v>
      </c>
      <c r="D45" s="20" t="s">
        <v>31</v>
      </c>
      <c r="E45" s="19">
        <v>97</v>
      </c>
      <c r="F45" s="20">
        <v>2</v>
      </c>
      <c r="G45" s="19" t="s">
        <v>15</v>
      </c>
      <c r="H45" s="19" t="s">
        <v>122</v>
      </c>
      <c r="I45" s="20">
        <v>540</v>
      </c>
      <c r="J45" s="64">
        <v>167900</v>
      </c>
      <c r="K45" s="64">
        <f>J45</f>
        <v>167900</v>
      </c>
      <c r="L45" s="64">
        <v>167900</v>
      </c>
      <c r="M45" s="180">
        <f t="shared" si="1"/>
        <v>0</v>
      </c>
    </row>
    <row r="46" spans="1:13" ht="46.8">
      <c r="A46" s="22" t="s">
        <v>33</v>
      </c>
      <c r="B46" s="19">
        <v>871</v>
      </c>
      <c r="C46" s="19" t="s">
        <v>12</v>
      </c>
      <c r="D46" s="19" t="s">
        <v>34</v>
      </c>
      <c r="E46" s="19"/>
      <c r="F46" s="19"/>
      <c r="G46" s="19"/>
      <c r="H46" s="19"/>
      <c r="I46" s="19"/>
      <c r="J46" s="64">
        <f>J47</f>
        <v>211300</v>
      </c>
      <c r="K46" s="64">
        <f t="shared" ref="K46:L49" si="16">K47</f>
        <v>211300</v>
      </c>
      <c r="L46" s="64">
        <f t="shared" si="16"/>
        <v>211300</v>
      </c>
      <c r="M46" s="180">
        <f t="shared" si="1"/>
        <v>0</v>
      </c>
    </row>
    <row r="47" spans="1:13">
      <c r="A47" s="22" t="s">
        <v>116</v>
      </c>
      <c r="B47" s="19" t="s">
        <v>5</v>
      </c>
      <c r="C47" s="19" t="s">
        <v>12</v>
      </c>
      <c r="D47" s="19" t="s">
        <v>34</v>
      </c>
      <c r="E47" s="19" t="s">
        <v>113</v>
      </c>
      <c r="F47" s="19" t="s">
        <v>14</v>
      </c>
      <c r="G47" s="19" t="s">
        <v>15</v>
      </c>
      <c r="H47" s="19" t="s">
        <v>16</v>
      </c>
      <c r="I47" s="19"/>
      <c r="J47" s="64">
        <f>J48</f>
        <v>211300</v>
      </c>
      <c r="K47" s="64">
        <f t="shared" si="16"/>
        <v>211300</v>
      </c>
      <c r="L47" s="64">
        <f t="shared" si="16"/>
        <v>211300</v>
      </c>
      <c r="M47" s="180">
        <f t="shared" si="1"/>
        <v>0</v>
      </c>
    </row>
    <row r="48" spans="1:13" ht="78">
      <c r="A48" s="22" t="s">
        <v>111</v>
      </c>
      <c r="B48" s="19" t="s">
        <v>5</v>
      </c>
      <c r="C48" s="19" t="s">
        <v>12</v>
      </c>
      <c r="D48" s="19" t="s">
        <v>34</v>
      </c>
      <c r="E48" s="19" t="s">
        <v>113</v>
      </c>
      <c r="F48" s="19" t="s">
        <v>20</v>
      </c>
      <c r="G48" s="19" t="s">
        <v>15</v>
      </c>
      <c r="H48" s="19" t="s">
        <v>16</v>
      </c>
      <c r="I48" s="19"/>
      <c r="J48" s="64">
        <f>J49</f>
        <v>211300</v>
      </c>
      <c r="K48" s="64">
        <f t="shared" si="16"/>
        <v>211300</v>
      </c>
      <c r="L48" s="64">
        <f t="shared" si="16"/>
        <v>211300</v>
      </c>
      <c r="M48" s="180">
        <f t="shared" si="1"/>
        <v>0</v>
      </c>
    </row>
    <row r="49" spans="1:13" ht="46.8">
      <c r="A49" s="22" t="s">
        <v>123</v>
      </c>
      <c r="B49" s="20">
        <v>871</v>
      </c>
      <c r="C49" s="19" t="s">
        <v>12</v>
      </c>
      <c r="D49" s="19" t="s">
        <v>34</v>
      </c>
      <c r="E49" s="19">
        <v>97</v>
      </c>
      <c r="F49" s="20">
        <v>2</v>
      </c>
      <c r="G49" s="19" t="s">
        <v>15</v>
      </c>
      <c r="H49" s="19" t="s">
        <v>124</v>
      </c>
      <c r="I49" s="20"/>
      <c r="J49" s="64">
        <f>J50</f>
        <v>211300</v>
      </c>
      <c r="K49" s="64">
        <f t="shared" si="16"/>
        <v>211300</v>
      </c>
      <c r="L49" s="64">
        <f t="shared" si="16"/>
        <v>211300</v>
      </c>
      <c r="M49" s="180">
        <f t="shared" si="1"/>
        <v>0</v>
      </c>
    </row>
    <row r="50" spans="1:13">
      <c r="A50" s="27" t="s">
        <v>116</v>
      </c>
      <c r="B50" s="20">
        <v>871</v>
      </c>
      <c r="C50" s="19" t="s">
        <v>12</v>
      </c>
      <c r="D50" s="19" t="s">
        <v>34</v>
      </c>
      <c r="E50" s="19">
        <v>97</v>
      </c>
      <c r="F50" s="20">
        <v>2</v>
      </c>
      <c r="G50" s="19" t="s">
        <v>15</v>
      </c>
      <c r="H50" s="19" t="s">
        <v>124</v>
      </c>
      <c r="I50" s="20">
        <v>540</v>
      </c>
      <c r="J50" s="64">
        <v>211300</v>
      </c>
      <c r="K50" s="64">
        <f>J50</f>
        <v>211300</v>
      </c>
      <c r="L50" s="64">
        <v>211300</v>
      </c>
      <c r="M50" s="180">
        <f t="shared" si="1"/>
        <v>0</v>
      </c>
    </row>
    <row r="51" spans="1:13" hidden="1">
      <c r="A51" s="22" t="s">
        <v>35</v>
      </c>
      <c r="B51" s="20">
        <v>871</v>
      </c>
      <c r="C51" s="19" t="s">
        <v>12</v>
      </c>
      <c r="D51" s="19" t="s">
        <v>36</v>
      </c>
      <c r="E51" s="19"/>
      <c r="F51" s="20"/>
      <c r="G51" s="19"/>
      <c r="H51" s="19"/>
      <c r="I51" s="20"/>
      <c r="J51" s="64">
        <f>J52</f>
        <v>0</v>
      </c>
      <c r="K51" s="64">
        <f t="shared" ref="K51:L53" si="17">K52</f>
        <v>0</v>
      </c>
      <c r="L51" s="64">
        <f t="shared" si="17"/>
        <v>0</v>
      </c>
      <c r="M51" s="180">
        <f t="shared" si="1"/>
        <v>0</v>
      </c>
    </row>
    <row r="52" spans="1:13" ht="46.8" hidden="1">
      <c r="A52" s="28" t="s">
        <v>125</v>
      </c>
      <c r="B52" s="20">
        <v>871</v>
      </c>
      <c r="C52" s="19" t="s">
        <v>12</v>
      </c>
      <c r="D52" s="19" t="s">
        <v>36</v>
      </c>
      <c r="E52" s="20">
        <v>93</v>
      </c>
      <c r="F52" s="19" t="s">
        <v>17</v>
      </c>
      <c r="G52" s="19" t="s">
        <v>15</v>
      </c>
      <c r="H52" s="19" t="s">
        <v>16</v>
      </c>
      <c r="I52" s="20"/>
      <c r="J52" s="64">
        <f>J53</f>
        <v>0</v>
      </c>
      <c r="K52" s="64">
        <f t="shared" si="17"/>
        <v>0</v>
      </c>
      <c r="L52" s="64">
        <f t="shared" si="17"/>
        <v>0</v>
      </c>
      <c r="M52" s="180">
        <f t="shared" si="1"/>
        <v>0</v>
      </c>
    </row>
    <row r="53" spans="1:13" ht="78" hidden="1">
      <c r="A53" s="28" t="s">
        <v>126</v>
      </c>
      <c r="B53" s="20">
        <v>871</v>
      </c>
      <c r="C53" s="19" t="s">
        <v>12</v>
      </c>
      <c r="D53" s="19" t="s">
        <v>36</v>
      </c>
      <c r="E53" s="20">
        <v>93</v>
      </c>
      <c r="F53" s="19" t="s">
        <v>17</v>
      </c>
      <c r="G53" s="19" t="s">
        <v>15</v>
      </c>
      <c r="H53" s="19" t="s">
        <v>127</v>
      </c>
      <c r="I53" s="20"/>
      <c r="J53" s="64">
        <f>J54</f>
        <v>0</v>
      </c>
      <c r="K53" s="64">
        <f t="shared" si="17"/>
        <v>0</v>
      </c>
      <c r="L53" s="64">
        <f t="shared" si="17"/>
        <v>0</v>
      </c>
      <c r="M53" s="180">
        <f t="shared" si="1"/>
        <v>0</v>
      </c>
    </row>
    <row r="54" spans="1:13" hidden="1">
      <c r="A54" s="22" t="s">
        <v>37</v>
      </c>
      <c r="B54" s="20">
        <v>871</v>
      </c>
      <c r="C54" s="19" t="s">
        <v>12</v>
      </c>
      <c r="D54" s="19" t="s">
        <v>36</v>
      </c>
      <c r="E54" s="20">
        <v>93</v>
      </c>
      <c r="F54" s="19" t="s">
        <v>17</v>
      </c>
      <c r="G54" s="19" t="s">
        <v>15</v>
      </c>
      <c r="H54" s="19" t="s">
        <v>127</v>
      </c>
      <c r="I54" s="20">
        <v>880</v>
      </c>
      <c r="J54" s="64"/>
      <c r="K54" s="64"/>
      <c r="L54" s="64"/>
      <c r="M54" s="180">
        <f t="shared" si="1"/>
        <v>0</v>
      </c>
    </row>
    <row r="55" spans="1:13">
      <c r="A55" s="21" t="s">
        <v>41</v>
      </c>
      <c r="B55" s="20">
        <v>871</v>
      </c>
      <c r="C55" s="19" t="s">
        <v>12</v>
      </c>
      <c r="D55" s="20">
        <v>11</v>
      </c>
      <c r="E55" s="19"/>
      <c r="F55" s="20"/>
      <c r="G55" s="19"/>
      <c r="H55" s="19"/>
      <c r="I55" s="20" t="s">
        <v>94</v>
      </c>
      <c r="J55" s="63">
        <f>J56</f>
        <v>51259.12</v>
      </c>
      <c r="K55" s="63">
        <f t="shared" ref="K55:L58" si="18">K56</f>
        <v>51259.12</v>
      </c>
      <c r="L55" s="63">
        <f t="shared" si="18"/>
        <v>0</v>
      </c>
      <c r="M55" s="180">
        <f t="shared" si="1"/>
        <v>51259.12</v>
      </c>
    </row>
    <row r="56" spans="1:13">
      <c r="A56" s="21" t="s">
        <v>41</v>
      </c>
      <c r="B56" s="20">
        <v>871</v>
      </c>
      <c r="C56" s="19" t="s">
        <v>12</v>
      </c>
      <c r="D56" s="20">
        <v>11</v>
      </c>
      <c r="E56" s="19">
        <v>94</v>
      </c>
      <c r="F56" s="20">
        <v>0</v>
      </c>
      <c r="G56" s="19" t="s">
        <v>15</v>
      </c>
      <c r="H56" s="19" t="s">
        <v>16</v>
      </c>
      <c r="I56" s="20"/>
      <c r="J56" s="63">
        <f>J57</f>
        <v>51259.12</v>
      </c>
      <c r="K56" s="63">
        <f t="shared" si="18"/>
        <v>51259.12</v>
      </c>
      <c r="L56" s="63">
        <f t="shared" si="18"/>
        <v>0</v>
      </c>
      <c r="M56" s="180">
        <f t="shared" si="1"/>
        <v>51259.12</v>
      </c>
    </row>
    <row r="57" spans="1:13">
      <c r="A57" s="21" t="s">
        <v>128</v>
      </c>
      <c r="B57" s="20">
        <v>871</v>
      </c>
      <c r="C57" s="19" t="s">
        <v>12</v>
      </c>
      <c r="D57" s="20">
        <v>11</v>
      </c>
      <c r="E57" s="19">
        <v>94</v>
      </c>
      <c r="F57" s="20">
        <v>1</v>
      </c>
      <c r="G57" s="19" t="s">
        <v>15</v>
      </c>
      <c r="H57" s="19" t="s">
        <v>16</v>
      </c>
      <c r="I57" s="20" t="s">
        <v>94</v>
      </c>
      <c r="J57" s="63">
        <f>J58</f>
        <v>51259.12</v>
      </c>
      <c r="K57" s="63">
        <f t="shared" si="18"/>
        <v>51259.12</v>
      </c>
      <c r="L57" s="63">
        <f t="shared" si="18"/>
        <v>0</v>
      </c>
      <c r="M57" s="180">
        <f t="shared" si="1"/>
        <v>51259.12</v>
      </c>
    </row>
    <row r="58" spans="1:13">
      <c r="A58" s="21" t="s">
        <v>128</v>
      </c>
      <c r="B58" s="20">
        <v>871</v>
      </c>
      <c r="C58" s="19" t="s">
        <v>12</v>
      </c>
      <c r="D58" s="20">
        <v>11</v>
      </c>
      <c r="E58" s="19">
        <v>94</v>
      </c>
      <c r="F58" s="20">
        <v>1</v>
      </c>
      <c r="G58" s="19" t="s">
        <v>15</v>
      </c>
      <c r="H58" s="19" t="s">
        <v>129</v>
      </c>
      <c r="I58" s="20"/>
      <c r="J58" s="63">
        <f>J59</f>
        <v>51259.12</v>
      </c>
      <c r="K58" s="63">
        <f t="shared" si="18"/>
        <v>51259.12</v>
      </c>
      <c r="L58" s="63">
        <f t="shared" si="18"/>
        <v>0</v>
      </c>
      <c r="M58" s="180">
        <f t="shared" si="1"/>
        <v>51259.12</v>
      </c>
    </row>
    <row r="59" spans="1:13">
      <c r="A59" s="21" t="s">
        <v>43</v>
      </c>
      <c r="B59" s="20">
        <v>871</v>
      </c>
      <c r="C59" s="19" t="s">
        <v>12</v>
      </c>
      <c r="D59" s="20">
        <v>11</v>
      </c>
      <c r="E59" s="19">
        <v>94</v>
      </c>
      <c r="F59" s="20">
        <v>1</v>
      </c>
      <c r="G59" s="19" t="s">
        <v>15</v>
      </c>
      <c r="H59" s="19" t="s">
        <v>129</v>
      </c>
      <c r="I59" s="19" t="s">
        <v>44</v>
      </c>
      <c r="J59" s="63">
        <f>100000-48740.88</f>
        <v>51259.12</v>
      </c>
      <c r="K59" s="63">
        <f>J59</f>
        <v>51259.12</v>
      </c>
      <c r="L59" s="63">
        <v>0</v>
      </c>
      <c r="M59" s="180">
        <f t="shared" si="1"/>
        <v>51259.12</v>
      </c>
    </row>
    <row r="60" spans="1:13">
      <c r="A60" s="21" t="s">
        <v>46</v>
      </c>
      <c r="B60" s="20">
        <v>871</v>
      </c>
      <c r="C60" s="19" t="s">
        <v>12</v>
      </c>
      <c r="D60" s="20">
        <v>13</v>
      </c>
      <c r="E60" s="19"/>
      <c r="F60" s="20"/>
      <c r="G60" s="19"/>
      <c r="H60" s="19"/>
      <c r="I60" s="20"/>
      <c r="J60" s="64">
        <f>J61+J74+J94+J105+J109+J113+J129+J135</f>
        <v>10041795.200000001</v>
      </c>
      <c r="K60" s="64">
        <f t="shared" ref="K60:L60" si="19">K61+K74+K94+K105+K109+K113+K129+K135</f>
        <v>10041795.200000001</v>
      </c>
      <c r="L60" s="64">
        <f t="shared" si="19"/>
        <v>7176984.0999999996</v>
      </c>
      <c r="M60" s="180">
        <f t="shared" si="1"/>
        <v>2864811.1000000015</v>
      </c>
    </row>
    <row r="61" spans="1:13" ht="62.4">
      <c r="A61" s="21" t="s">
        <v>130</v>
      </c>
      <c r="B61" s="20">
        <v>871</v>
      </c>
      <c r="C61" s="19" t="s">
        <v>12</v>
      </c>
      <c r="D61" s="20">
        <v>13</v>
      </c>
      <c r="E61" s="19" t="s">
        <v>12</v>
      </c>
      <c r="F61" s="20">
        <v>0</v>
      </c>
      <c r="G61" s="19" t="s">
        <v>15</v>
      </c>
      <c r="H61" s="19" t="s">
        <v>16</v>
      </c>
      <c r="I61" s="20"/>
      <c r="J61" s="64">
        <f>J62+J71</f>
        <v>8586041</v>
      </c>
      <c r="K61" s="64">
        <f t="shared" ref="K61:L61" si="20">K62+K71</f>
        <v>8586041</v>
      </c>
      <c r="L61" s="64">
        <f t="shared" si="20"/>
        <v>5845423.7299999995</v>
      </c>
      <c r="M61" s="180">
        <f t="shared" si="1"/>
        <v>2740617.2700000005</v>
      </c>
    </row>
    <row r="62" spans="1:13">
      <c r="A62" s="21" t="s">
        <v>131</v>
      </c>
      <c r="B62" s="20">
        <v>871</v>
      </c>
      <c r="C62" s="19" t="s">
        <v>12</v>
      </c>
      <c r="D62" s="20">
        <v>13</v>
      </c>
      <c r="E62" s="19" t="s">
        <v>12</v>
      </c>
      <c r="F62" s="20">
        <v>1</v>
      </c>
      <c r="G62" s="19" t="s">
        <v>15</v>
      </c>
      <c r="H62" s="19" t="s">
        <v>16</v>
      </c>
      <c r="I62" s="20"/>
      <c r="J62" s="64">
        <f>J63+J65+J67+J69</f>
        <v>8046041</v>
      </c>
      <c r="K62" s="64">
        <f t="shared" ref="K62:L62" si="21">K63+K65+K67+K69</f>
        <v>8046041.0000000009</v>
      </c>
      <c r="L62" s="64">
        <f t="shared" si="21"/>
        <v>5374746.7199999997</v>
      </c>
      <c r="M62" s="180">
        <f t="shared" si="1"/>
        <v>2671294.2800000003</v>
      </c>
    </row>
    <row r="63" spans="1:13">
      <c r="A63" s="22" t="s">
        <v>411</v>
      </c>
      <c r="B63" s="82">
        <v>871</v>
      </c>
      <c r="C63" s="81" t="s">
        <v>12</v>
      </c>
      <c r="D63" s="82">
        <v>13</v>
      </c>
      <c r="E63" s="81" t="s">
        <v>12</v>
      </c>
      <c r="F63" s="82">
        <v>1</v>
      </c>
      <c r="G63" s="81" t="s">
        <v>15</v>
      </c>
      <c r="H63" s="81" t="s">
        <v>410</v>
      </c>
      <c r="I63" s="82"/>
      <c r="J63" s="64">
        <f>J64</f>
        <v>200000</v>
      </c>
      <c r="K63" s="64">
        <f t="shared" ref="K63:L63" si="22">K64</f>
        <v>200000</v>
      </c>
      <c r="L63" s="64">
        <f t="shared" si="22"/>
        <v>197190</v>
      </c>
      <c r="M63" s="180">
        <f t="shared" si="1"/>
        <v>2810</v>
      </c>
    </row>
    <row r="64" spans="1:13" ht="31.2">
      <c r="A64" s="22" t="s">
        <v>22</v>
      </c>
      <c r="B64" s="82">
        <v>871</v>
      </c>
      <c r="C64" s="81" t="s">
        <v>12</v>
      </c>
      <c r="D64" s="82">
        <v>13</v>
      </c>
      <c r="E64" s="81" t="s">
        <v>12</v>
      </c>
      <c r="F64" s="82">
        <v>1</v>
      </c>
      <c r="G64" s="81" t="s">
        <v>15</v>
      </c>
      <c r="H64" s="81" t="s">
        <v>410</v>
      </c>
      <c r="I64" s="82">
        <v>240</v>
      </c>
      <c r="J64" s="64">
        <f>500000-300000</f>
        <v>200000</v>
      </c>
      <c r="K64" s="64">
        <v>200000</v>
      </c>
      <c r="L64" s="64">
        <v>197190</v>
      </c>
      <c r="M64" s="180">
        <f t="shared" si="1"/>
        <v>2810</v>
      </c>
    </row>
    <row r="65" spans="1:13">
      <c r="A65" s="22" t="s">
        <v>132</v>
      </c>
      <c r="B65" s="20">
        <v>871</v>
      </c>
      <c r="C65" s="19" t="s">
        <v>12</v>
      </c>
      <c r="D65" s="20">
        <v>13</v>
      </c>
      <c r="E65" s="19" t="s">
        <v>12</v>
      </c>
      <c r="F65" s="20">
        <v>1</v>
      </c>
      <c r="G65" s="19" t="s">
        <v>15</v>
      </c>
      <c r="H65" s="19" t="s">
        <v>133</v>
      </c>
      <c r="I65" s="20"/>
      <c r="J65" s="64">
        <f>J66</f>
        <v>4828715.84</v>
      </c>
      <c r="K65" s="64">
        <f t="shared" ref="K65:L65" si="23">K66</f>
        <v>5057825.0600000005</v>
      </c>
      <c r="L65" s="64">
        <f t="shared" si="23"/>
        <v>4944591.04</v>
      </c>
      <c r="M65" s="180">
        <f t="shared" si="1"/>
        <v>-115875.20000000019</v>
      </c>
    </row>
    <row r="66" spans="1:13" ht="31.2">
      <c r="A66" s="22" t="s">
        <v>22</v>
      </c>
      <c r="B66" s="20">
        <v>871</v>
      </c>
      <c r="C66" s="19" t="s">
        <v>12</v>
      </c>
      <c r="D66" s="20">
        <v>13</v>
      </c>
      <c r="E66" s="19" t="s">
        <v>12</v>
      </c>
      <c r="F66" s="20">
        <v>1</v>
      </c>
      <c r="G66" s="19" t="s">
        <v>15</v>
      </c>
      <c r="H66" s="19" t="s">
        <v>133</v>
      </c>
      <c r="I66" s="20">
        <v>240</v>
      </c>
      <c r="J66" s="64">
        <f>1337765.46+599511.74+2756801.05-120550.47+900000-524811.94-120000</f>
        <v>4828715.84</v>
      </c>
      <c r="K66" s="64">
        <f>2691438.64+1903070.39+463316.03</f>
        <v>5057825.0600000005</v>
      </c>
      <c r="L66" s="64">
        <f>2691438.64+1830105.37+423047.03</f>
        <v>4944591.04</v>
      </c>
      <c r="M66" s="180">
        <f t="shared" si="1"/>
        <v>-115875.20000000019</v>
      </c>
    </row>
    <row r="67" spans="1:13" ht="31.2">
      <c r="A67" s="22" t="s">
        <v>134</v>
      </c>
      <c r="B67" s="20">
        <v>871</v>
      </c>
      <c r="C67" s="19" t="s">
        <v>12</v>
      </c>
      <c r="D67" s="20">
        <v>13</v>
      </c>
      <c r="E67" s="19" t="s">
        <v>12</v>
      </c>
      <c r="F67" s="20">
        <v>1</v>
      </c>
      <c r="G67" s="19" t="s">
        <v>15</v>
      </c>
      <c r="H67" s="19" t="s">
        <v>135</v>
      </c>
      <c r="I67" s="20"/>
      <c r="J67" s="64">
        <f>J68</f>
        <v>2761603.56</v>
      </c>
      <c r="K67" s="64">
        <f t="shared" ref="K67:L67" si="24">K68</f>
        <v>2761603.56</v>
      </c>
      <c r="L67" s="64">
        <f t="shared" si="24"/>
        <v>211655.21</v>
      </c>
      <c r="M67" s="180">
        <f t="shared" si="1"/>
        <v>2549948.35</v>
      </c>
    </row>
    <row r="68" spans="1:13" ht="31.2">
      <c r="A68" s="22" t="s">
        <v>22</v>
      </c>
      <c r="B68" s="20">
        <v>871</v>
      </c>
      <c r="C68" s="19" t="s">
        <v>12</v>
      </c>
      <c r="D68" s="20">
        <v>13</v>
      </c>
      <c r="E68" s="19" t="s">
        <v>12</v>
      </c>
      <c r="F68" s="20">
        <v>1</v>
      </c>
      <c r="G68" s="19" t="s">
        <v>15</v>
      </c>
      <c r="H68" s="19" t="s">
        <v>135</v>
      </c>
      <c r="I68" s="20">
        <v>240</v>
      </c>
      <c r="J68" s="64">
        <f>261603.56+2500000</f>
        <v>2761603.56</v>
      </c>
      <c r="K68" s="64">
        <f>2500000+261603.56</f>
        <v>2761603.56</v>
      </c>
      <c r="L68" s="64">
        <f>211655.21</f>
        <v>211655.21</v>
      </c>
      <c r="M68" s="180">
        <f t="shared" si="1"/>
        <v>2549948.35</v>
      </c>
    </row>
    <row r="69" spans="1:13">
      <c r="A69" s="22" t="s">
        <v>136</v>
      </c>
      <c r="B69" s="20">
        <v>871</v>
      </c>
      <c r="C69" s="19" t="s">
        <v>12</v>
      </c>
      <c r="D69" s="20">
        <v>13</v>
      </c>
      <c r="E69" s="19" t="s">
        <v>12</v>
      </c>
      <c r="F69" s="20">
        <v>1</v>
      </c>
      <c r="G69" s="19" t="s">
        <v>15</v>
      </c>
      <c r="H69" s="19" t="s">
        <v>137</v>
      </c>
      <c r="I69" s="20"/>
      <c r="J69" s="64">
        <f>J70</f>
        <v>255721.59999999998</v>
      </c>
      <c r="K69" s="64">
        <f t="shared" ref="K69:L69" si="25">K70</f>
        <v>26612.379999999997</v>
      </c>
      <c r="L69" s="64">
        <f t="shared" si="25"/>
        <v>21310.47</v>
      </c>
      <c r="M69" s="180">
        <f t="shared" si="1"/>
        <v>234411.12999999998</v>
      </c>
    </row>
    <row r="70" spans="1:13" ht="31.2">
      <c r="A70" s="22" t="s">
        <v>22</v>
      </c>
      <c r="B70" s="20">
        <v>871</v>
      </c>
      <c r="C70" s="19" t="s">
        <v>12</v>
      </c>
      <c r="D70" s="20">
        <v>13</v>
      </c>
      <c r="E70" s="19" t="s">
        <v>12</v>
      </c>
      <c r="F70" s="20">
        <v>1</v>
      </c>
      <c r="G70" s="19" t="s">
        <v>15</v>
      </c>
      <c r="H70" s="19" t="s">
        <v>137</v>
      </c>
      <c r="I70" s="20">
        <v>240</v>
      </c>
      <c r="J70" s="64">
        <f>455721.6-200000</f>
        <v>255721.59999999998</v>
      </c>
      <c r="K70" s="64">
        <f>14154.22+12458.16</f>
        <v>26612.379999999997</v>
      </c>
      <c r="L70" s="64">
        <f>8852.31+12458.16</f>
        <v>21310.47</v>
      </c>
      <c r="M70" s="180">
        <f t="shared" si="1"/>
        <v>234411.12999999998</v>
      </c>
    </row>
    <row r="71" spans="1:13" ht="46.8">
      <c r="A71" s="22" t="s">
        <v>138</v>
      </c>
      <c r="B71" s="20">
        <v>871</v>
      </c>
      <c r="C71" s="19" t="s">
        <v>12</v>
      </c>
      <c r="D71" s="20">
        <v>13</v>
      </c>
      <c r="E71" s="19" t="s">
        <v>12</v>
      </c>
      <c r="F71" s="20">
        <v>2</v>
      </c>
      <c r="G71" s="19" t="s">
        <v>15</v>
      </c>
      <c r="H71" s="19" t="s">
        <v>16</v>
      </c>
      <c r="I71" s="20"/>
      <c r="J71" s="64">
        <f>J72</f>
        <v>540000</v>
      </c>
      <c r="K71" s="64">
        <f t="shared" ref="K71:L72" si="26">K72</f>
        <v>540000</v>
      </c>
      <c r="L71" s="64">
        <f t="shared" si="26"/>
        <v>470677.01</v>
      </c>
      <c r="M71" s="180">
        <f t="shared" si="1"/>
        <v>69322.989999999991</v>
      </c>
    </row>
    <row r="72" spans="1:13" ht="31.2">
      <c r="A72" s="22" t="s">
        <v>139</v>
      </c>
      <c r="B72" s="20">
        <v>871</v>
      </c>
      <c r="C72" s="19" t="s">
        <v>12</v>
      </c>
      <c r="D72" s="20">
        <v>13</v>
      </c>
      <c r="E72" s="19" t="s">
        <v>12</v>
      </c>
      <c r="F72" s="20">
        <v>2</v>
      </c>
      <c r="G72" s="19" t="s">
        <v>15</v>
      </c>
      <c r="H72" s="19" t="s">
        <v>140</v>
      </c>
      <c r="I72" s="20"/>
      <c r="J72" s="64">
        <f>J73</f>
        <v>540000</v>
      </c>
      <c r="K72" s="64">
        <f t="shared" si="26"/>
        <v>540000</v>
      </c>
      <c r="L72" s="64">
        <f t="shared" si="26"/>
        <v>470677.01</v>
      </c>
      <c r="M72" s="180">
        <f t="shared" si="1"/>
        <v>69322.989999999991</v>
      </c>
    </row>
    <row r="73" spans="1:13" ht="31.2">
      <c r="A73" s="22" t="s">
        <v>22</v>
      </c>
      <c r="B73" s="20">
        <v>871</v>
      </c>
      <c r="C73" s="19" t="s">
        <v>12</v>
      </c>
      <c r="D73" s="20">
        <v>13</v>
      </c>
      <c r="E73" s="19" t="s">
        <v>12</v>
      </c>
      <c r="F73" s="20">
        <v>2</v>
      </c>
      <c r="G73" s="19" t="s">
        <v>15</v>
      </c>
      <c r="H73" s="19" t="s">
        <v>140</v>
      </c>
      <c r="I73" s="20">
        <v>240</v>
      </c>
      <c r="J73" s="64">
        <f>390000+400000-250000</f>
        <v>540000</v>
      </c>
      <c r="K73" s="64">
        <v>540000</v>
      </c>
      <c r="L73" s="64">
        <v>470677.01</v>
      </c>
      <c r="M73" s="180">
        <f t="shared" si="1"/>
        <v>69322.989999999991</v>
      </c>
    </row>
    <row r="74" spans="1:13" ht="62.4">
      <c r="A74" s="21" t="s">
        <v>141</v>
      </c>
      <c r="B74" s="20">
        <v>871</v>
      </c>
      <c r="C74" s="19" t="s">
        <v>12</v>
      </c>
      <c r="D74" s="20">
        <v>13</v>
      </c>
      <c r="E74" s="19" t="s">
        <v>36</v>
      </c>
      <c r="F74" s="20">
        <v>0</v>
      </c>
      <c r="G74" s="19" t="s">
        <v>15</v>
      </c>
      <c r="H74" s="19" t="s">
        <v>16</v>
      </c>
      <c r="I74" s="20"/>
      <c r="J74" s="64">
        <f>J75</f>
        <v>1007589.13</v>
      </c>
      <c r="K74" s="64">
        <f t="shared" ref="K74:L74" si="27">K75</f>
        <v>1007589.13</v>
      </c>
      <c r="L74" s="64">
        <f t="shared" si="27"/>
        <v>996063.64</v>
      </c>
      <c r="M74" s="180">
        <f t="shared" si="1"/>
        <v>11525.489999999991</v>
      </c>
    </row>
    <row r="75" spans="1:13" ht="46.8">
      <c r="A75" s="21" t="s">
        <v>142</v>
      </c>
      <c r="B75" s="20">
        <v>871</v>
      </c>
      <c r="C75" s="19" t="s">
        <v>12</v>
      </c>
      <c r="D75" s="20">
        <v>13</v>
      </c>
      <c r="E75" s="19" t="s">
        <v>36</v>
      </c>
      <c r="F75" s="20">
        <v>1</v>
      </c>
      <c r="G75" s="19" t="s">
        <v>15</v>
      </c>
      <c r="H75" s="19" t="s">
        <v>16</v>
      </c>
      <c r="I75" s="20"/>
      <c r="J75" s="64">
        <f>J76+J79+J82+J85+J88+J91</f>
        <v>1007589.13</v>
      </c>
      <c r="K75" s="64">
        <f t="shared" ref="K75:L75" si="28">K76+K79+K82+K85+K88+K91</f>
        <v>1007589.13</v>
      </c>
      <c r="L75" s="64">
        <f t="shared" si="28"/>
        <v>996063.64</v>
      </c>
      <c r="M75" s="180">
        <f t="shared" si="1"/>
        <v>11525.489999999991</v>
      </c>
    </row>
    <row r="76" spans="1:13">
      <c r="A76" s="21" t="s">
        <v>143</v>
      </c>
      <c r="B76" s="20">
        <v>871</v>
      </c>
      <c r="C76" s="19" t="s">
        <v>12</v>
      </c>
      <c r="D76" s="20">
        <v>13</v>
      </c>
      <c r="E76" s="19" t="s">
        <v>36</v>
      </c>
      <c r="F76" s="20">
        <v>1</v>
      </c>
      <c r="G76" s="19" t="s">
        <v>12</v>
      </c>
      <c r="H76" s="19" t="s">
        <v>16</v>
      </c>
      <c r="I76" s="20"/>
      <c r="J76" s="64">
        <f>J77</f>
        <v>453094.49</v>
      </c>
      <c r="K76" s="64">
        <f t="shared" ref="K76:L77" si="29">K77</f>
        <v>453094.49</v>
      </c>
      <c r="L76" s="64">
        <f t="shared" si="29"/>
        <v>449349</v>
      </c>
      <c r="M76" s="180">
        <f t="shared" si="1"/>
        <v>3745.4899999999907</v>
      </c>
    </row>
    <row r="77" spans="1:13" ht="46.8">
      <c r="A77" s="22" t="s">
        <v>144</v>
      </c>
      <c r="B77" s="20">
        <v>871</v>
      </c>
      <c r="C77" s="19" t="s">
        <v>12</v>
      </c>
      <c r="D77" s="19" t="s">
        <v>47</v>
      </c>
      <c r="E77" s="19" t="s">
        <v>36</v>
      </c>
      <c r="F77" s="19" t="s">
        <v>17</v>
      </c>
      <c r="G77" s="19" t="s">
        <v>12</v>
      </c>
      <c r="H77" s="19" t="s">
        <v>145</v>
      </c>
      <c r="I77" s="19"/>
      <c r="J77" s="64">
        <f>J78</f>
        <v>453094.49</v>
      </c>
      <c r="K77" s="64">
        <f t="shared" si="29"/>
        <v>453094.49</v>
      </c>
      <c r="L77" s="64">
        <f t="shared" si="29"/>
        <v>449349</v>
      </c>
      <c r="M77" s="180">
        <f t="shared" ref="M77:M140" si="30">J77-L77</f>
        <v>3745.4899999999907</v>
      </c>
    </row>
    <row r="78" spans="1:13" ht="31.2">
      <c r="A78" s="22" t="s">
        <v>22</v>
      </c>
      <c r="B78" s="20">
        <v>871</v>
      </c>
      <c r="C78" s="19" t="s">
        <v>12</v>
      </c>
      <c r="D78" s="19" t="s">
        <v>47</v>
      </c>
      <c r="E78" s="19" t="s">
        <v>36</v>
      </c>
      <c r="F78" s="19" t="s">
        <v>17</v>
      </c>
      <c r="G78" s="19" t="s">
        <v>12</v>
      </c>
      <c r="H78" s="19" t="s">
        <v>145</v>
      </c>
      <c r="I78" s="19" t="s">
        <v>23</v>
      </c>
      <c r="J78" s="64">
        <f>254126.13+135873.87+63094.49</f>
        <v>453094.49</v>
      </c>
      <c r="K78" s="64">
        <v>453094.49</v>
      </c>
      <c r="L78" s="64">
        <v>449349</v>
      </c>
      <c r="M78" s="180">
        <f t="shared" si="30"/>
        <v>3745.4899999999907</v>
      </c>
    </row>
    <row r="79" spans="1:13" ht="31.2">
      <c r="A79" s="21" t="s">
        <v>146</v>
      </c>
      <c r="B79" s="20">
        <v>871</v>
      </c>
      <c r="C79" s="19" t="s">
        <v>12</v>
      </c>
      <c r="D79" s="20">
        <v>13</v>
      </c>
      <c r="E79" s="19" t="s">
        <v>36</v>
      </c>
      <c r="F79" s="20">
        <v>1</v>
      </c>
      <c r="G79" s="19" t="s">
        <v>13</v>
      </c>
      <c r="H79" s="19" t="s">
        <v>16</v>
      </c>
      <c r="I79" s="20"/>
      <c r="J79" s="64">
        <f>J80</f>
        <v>35000</v>
      </c>
      <c r="K79" s="64">
        <f t="shared" ref="K79:L80" si="31">K80</f>
        <v>35000</v>
      </c>
      <c r="L79" s="64">
        <f t="shared" si="31"/>
        <v>35000</v>
      </c>
      <c r="M79" s="180">
        <f t="shared" si="30"/>
        <v>0</v>
      </c>
    </row>
    <row r="80" spans="1:13" ht="46.8">
      <c r="A80" s="22" t="s">
        <v>144</v>
      </c>
      <c r="B80" s="20">
        <v>871</v>
      </c>
      <c r="C80" s="19" t="s">
        <v>12</v>
      </c>
      <c r="D80" s="19" t="s">
        <v>47</v>
      </c>
      <c r="E80" s="19" t="s">
        <v>36</v>
      </c>
      <c r="F80" s="19" t="s">
        <v>17</v>
      </c>
      <c r="G80" s="19" t="s">
        <v>13</v>
      </c>
      <c r="H80" s="19" t="s">
        <v>145</v>
      </c>
      <c r="I80" s="19"/>
      <c r="J80" s="64">
        <f>J81</f>
        <v>35000</v>
      </c>
      <c r="K80" s="64">
        <f t="shared" si="31"/>
        <v>35000</v>
      </c>
      <c r="L80" s="64">
        <f t="shared" si="31"/>
        <v>35000</v>
      </c>
      <c r="M80" s="180">
        <f t="shared" si="30"/>
        <v>0</v>
      </c>
    </row>
    <row r="81" spans="1:13" ht="31.2">
      <c r="A81" s="22" t="s">
        <v>22</v>
      </c>
      <c r="B81" s="20">
        <v>871</v>
      </c>
      <c r="C81" s="19" t="s">
        <v>12</v>
      </c>
      <c r="D81" s="19" t="s">
        <v>47</v>
      </c>
      <c r="E81" s="19" t="s">
        <v>36</v>
      </c>
      <c r="F81" s="19" t="s">
        <v>17</v>
      </c>
      <c r="G81" s="19" t="s">
        <v>13</v>
      </c>
      <c r="H81" s="19" t="s">
        <v>145</v>
      </c>
      <c r="I81" s="19" t="s">
        <v>23</v>
      </c>
      <c r="J81" s="64">
        <v>35000</v>
      </c>
      <c r="K81" s="64">
        <v>35000</v>
      </c>
      <c r="L81" s="64">
        <v>35000</v>
      </c>
      <c r="M81" s="180">
        <f t="shared" si="30"/>
        <v>0</v>
      </c>
    </row>
    <row r="82" spans="1:13" ht="31.2">
      <c r="A82" s="21" t="s">
        <v>147</v>
      </c>
      <c r="B82" s="20">
        <v>871</v>
      </c>
      <c r="C82" s="19" t="s">
        <v>12</v>
      </c>
      <c r="D82" s="20">
        <v>13</v>
      </c>
      <c r="E82" s="19" t="s">
        <v>36</v>
      </c>
      <c r="F82" s="20">
        <v>1</v>
      </c>
      <c r="G82" s="19" t="s">
        <v>19</v>
      </c>
      <c r="H82" s="19" t="s">
        <v>16</v>
      </c>
      <c r="I82" s="20"/>
      <c r="J82" s="64">
        <f>J83</f>
        <v>403294.64</v>
      </c>
      <c r="K82" s="64">
        <f t="shared" ref="K82:L83" si="32">K83</f>
        <v>431814.64</v>
      </c>
      <c r="L82" s="64">
        <f t="shared" si="32"/>
        <v>431814.64</v>
      </c>
      <c r="M82" s="180">
        <f t="shared" si="30"/>
        <v>-28520</v>
      </c>
    </row>
    <row r="83" spans="1:13" ht="46.8">
      <c r="A83" s="22" t="s">
        <v>144</v>
      </c>
      <c r="B83" s="20">
        <v>871</v>
      </c>
      <c r="C83" s="19" t="s">
        <v>12</v>
      </c>
      <c r="D83" s="19" t="s">
        <v>47</v>
      </c>
      <c r="E83" s="19" t="s">
        <v>36</v>
      </c>
      <c r="F83" s="19" t="s">
        <v>17</v>
      </c>
      <c r="G83" s="19" t="s">
        <v>19</v>
      </c>
      <c r="H83" s="19" t="s">
        <v>145</v>
      </c>
      <c r="I83" s="19"/>
      <c r="J83" s="64">
        <f>J84</f>
        <v>403294.64</v>
      </c>
      <c r="K83" s="64">
        <f t="shared" si="32"/>
        <v>431814.64</v>
      </c>
      <c r="L83" s="64">
        <f t="shared" si="32"/>
        <v>431814.64</v>
      </c>
      <c r="M83" s="180">
        <f t="shared" si="30"/>
        <v>-28520</v>
      </c>
    </row>
    <row r="84" spans="1:13" ht="31.2">
      <c r="A84" s="22" t="s">
        <v>22</v>
      </c>
      <c r="B84" s="20">
        <v>871</v>
      </c>
      <c r="C84" s="19" t="s">
        <v>12</v>
      </c>
      <c r="D84" s="19" t="s">
        <v>47</v>
      </c>
      <c r="E84" s="19" t="s">
        <v>36</v>
      </c>
      <c r="F84" s="19" t="s">
        <v>17</v>
      </c>
      <c r="G84" s="19" t="s">
        <v>19</v>
      </c>
      <c r="H84" s="19" t="s">
        <v>145</v>
      </c>
      <c r="I84" s="19" t="s">
        <v>23</v>
      </c>
      <c r="J84" s="64">
        <f>633463-31200-135873.87-63094.49</f>
        <v>403294.64</v>
      </c>
      <c r="K84" s="64">
        <v>431814.64</v>
      </c>
      <c r="L84" s="64">
        <v>431814.64</v>
      </c>
      <c r="M84" s="180">
        <f t="shared" si="30"/>
        <v>-28520</v>
      </c>
    </row>
    <row r="85" spans="1:13">
      <c r="A85" s="21" t="s">
        <v>148</v>
      </c>
      <c r="B85" s="20">
        <v>871</v>
      </c>
      <c r="C85" s="19" t="s">
        <v>12</v>
      </c>
      <c r="D85" s="20">
        <v>13</v>
      </c>
      <c r="E85" s="19" t="s">
        <v>36</v>
      </c>
      <c r="F85" s="20">
        <v>1</v>
      </c>
      <c r="G85" s="19" t="s">
        <v>31</v>
      </c>
      <c r="H85" s="19" t="s">
        <v>16</v>
      </c>
      <c r="I85" s="20"/>
      <c r="J85" s="64">
        <f>J86</f>
        <v>50000</v>
      </c>
      <c r="K85" s="64">
        <f t="shared" ref="K85:L86" si="33">K86</f>
        <v>50000</v>
      </c>
      <c r="L85" s="64">
        <f t="shared" si="33"/>
        <v>43200</v>
      </c>
      <c r="M85" s="180">
        <f t="shared" si="30"/>
        <v>6800</v>
      </c>
    </row>
    <row r="86" spans="1:13" ht="46.8">
      <c r="A86" s="22" t="s">
        <v>144</v>
      </c>
      <c r="B86" s="20">
        <v>871</v>
      </c>
      <c r="C86" s="19" t="s">
        <v>12</v>
      </c>
      <c r="D86" s="19" t="s">
        <v>47</v>
      </c>
      <c r="E86" s="19" t="s">
        <v>36</v>
      </c>
      <c r="F86" s="19" t="s">
        <v>17</v>
      </c>
      <c r="G86" s="19" t="s">
        <v>31</v>
      </c>
      <c r="H86" s="19" t="s">
        <v>145</v>
      </c>
      <c r="I86" s="19"/>
      <c r="J86" s="64">
        <f>J87</f>
        <v>50000</v>
      </c>
      <c r="K86" s="64">
        <f t="shared" si="33"/>
        <v>50000</v>
      </c>
      <c r="L86" s="64">
        <f t="shared" si="33"/>
        <v>43200</v>
      </c>
      <c r="M86" s="180">
        <f t="shared" si="30"/>
        <v>6800</v>
      </c>
    </row>
    <row r="87" spans="1:13" ht="31.2">
      <c r="A87" s="22" t="s">
        <v>22</v>
      </c>
      <c r="B87" s="20">
        <v>871</v>
      </c>
      <c r="C87" s="19" t="s">
        <v>12</v>
      </c>
      <c r="D87" s="19" t="s">
        <v>47</v>
      </c>
      <c r="E87" s="19" t="s">
        <v>36</v>
      </c>
      <c r="F87" s="19" t="s">
        <v>17</v>
      </c>
      <c r="G87" s="19" t="s">
        <v>31</v>
      </c>
      <c r="H87" s="19" t="s">
        <v>145</v>
      </c>
      <c r="I87" s="19" t="s">
        <v>23</v>
      </c>
      <c r="J87" s="64">
        <v>50000</v>
      </c>
      <c r="K87" s="64">
        <v>50000</v>
      </c>
      <c r="L87" s="64">
        <v>43200</v>
      </c>
      <c r="M87" s="180">
        <f t="shared" si="30"/>
        <v>6800</v>
      </c>
    </row>
    <row r="88" spans="1:13" ht="62.4">
      <c r="A88" s="21" t="s">
        <v>149</v>
      </c>
      <c r="B88" s="20">
        <v>871</v>
      </c>
      <c r="C88" s="19" t="s">
        <v>12</v>
      </c>
      <c r="D88" s="20">
        <v>13</v>
      </c>
      <c r="E88" s="19" t="s">
        <v>36</v>
      </c>
      <c r="F88" s="20">
        <v>1</v>
      </c>
      <c r="G88" s="19" t="s">
        <v>32</v>
      </c>
      <c r="H88" s="19" t="s">
        <v>16</v>
      </c>
      <c r="I88" s="20"/>
      <c r="J88" s="64">
        <f>J89</f>
        <v>30000</v>
      </c>
      <c r="K88" s="64">
        <f t="shared" ref="K88:L89" si="34">K89</f>
        <v>980</v>
      </c>
      <c r="L88" s="64">
        <f t="shared" si="34"/>
        <v>0</v>
      </c>
      <c r="M88" s="180">
        <f t="shared" si="30"/>
        <v>30000</v>
      </c>
    </row>
    <row r="89" spans="1:13" ht="46.8">
      <c r="A89" s="22" t="s">
        <v>144</v>
      </c>
      <c r="B89" s="20">
        <v>871</v>
      </c>
      <c r="C89" s="19" t="s">
        <v>12</v>
      </c>
      <c r="D89" s="19" t="s">
        <v>47</v>
      </c>
      <c r="E89" s="19" t="s">
        <v>36</v>
      </c>
      <c r="F89" s="19" t="s">
        <v>17</v>
      </c>
      <c r="G89" s="19" t="s">
        <v>32</v>
      </c>
      <c r="H89" s="19" t="s">
        <v>145</v>
      </c>
      <c r="I89" s="19"/>
      <c r="J89" s="64">
        <f>J90</f>
        <v>30000</v>
      </c>
      <c r="K89" s="64">
        <f t="shared" si="34"/>
        <v>980</v>
      </c>
      <c r="L89" s="64">
        <f t="shared" si="34"/>
        <v>0</v>
      </c>
      <c r="M89" s="180">
        <f t="shared" si="30"/>
        <v>30000</v>
      </c>
    </row>
    <row r="90" spans="1:13" ht="31.2">
      <c r="A90" s="22" t="s">
        <v>22</v>
      </c>
      <c r="B90" s="20">
        <v>871</v>
      </c>
      <c r="C90" s="19" t="s">
        <v>12</v>
      </c>
      <c r="D90" s="19" t="s">
        <v>47</v>
      </c>
      <c r="E90" s="19" t="s">
        <v>36</v>
      </c>
      <c r="F90" s="19" t="s">
        <v>17</v>
      </c>
      <c r="G90" s="19" t="s">
        <v>32</v>
      </c>
      <c r="H90" s="19" t="s">
        <v>145</v>
      </c>
      <c r="I90" s="19" t="s">
        <v>23</v>
      </c>
      <c r="J90" s="64">
        <v>30000</v>
      </c>
      <c r="K90" s="64">
        <v>980</v>
      </c>
      <c r="L90" s="64">
        <v>0</v>
      </c>
      <c r="M90" s="180">
        <f t="shared" si="30"/>
        <v>30000</v>
      </c>
    </row>
    <row r="91" spans="1:13" ht="31.2">
      <c r="A91" s="21" t="s">
        <v>150</v>
      </c>
      <c r="B91" s="20">
        <v>871</v>
      </c>
      <c r="C91" s="19" t="s">
        <v>12</v>
      </c>
      <c r="D91" s="20">
        <v>13</v>
      </c>
      <c r="E91" s="19" t="s">
        <v>36</v>
      </c>
      <c r="F91" s="20">
        <v>1</v>
      </c>
      <c r="G91" s="19" t="s">
        <v>34</v>
      </c>
      <c r="H91" s="19" t="s">
        <v>16</v>
      </c>
      <c r="I91" s="20"/>
      <c r="J91" s="64">
        <f>J92</f>
        <v>36200</v>
      </c>
      <c r="K91" s="64">
        <f t="shared" ref="K91:L92" si="35">K92</f>
        <v>36700</v>
      </c>
      <c r="L91" s="64">
        <f t="shared" si="35"/>
        <v>36700</v>
      </c>
      <c r="M91" s="180">
        <f t="shared" si="30"/>
        <v>-500</v>
      </c>
    </row>
    <row r="92" spans="1:13" ht="46.8">
      <c r="A92" s="22" t="s">
        <v>144</v>
      </c>
      <c r="B92" s="20">
        <v>871</v>
      </c>
      <c r="C92" s="19" t="s">
        <v>12</v>
      </c>
      <c r="D92" s="19" t="s">
        <v>47</v>
      </c>
      <c r="E92" s="19" t="s">
        <v>36</v>
      </c>
      <c r="F92" s="19" t="s">
        <v>17</v>
      </c>
      <c r="G92" s="19" t="s">
        <v>34</v>
      </c>
      <c r="H92" s="19" t="s">
        <v>145</v>
      </c>
      <c r="I92" s="19"/>
      <c r="J92" s="64">
        <f>J93</f>
        <v>36200</v>
      </c>
      <c r="K92" s="64">
        <f t="shared" si="35"/>
        <v>36700</v>
      </c>
      <c r="L92" s="64">
        <f t="shared" si="35"/>
        <v>36700</v>
      </c>
      <c r="M92" s="180">
        <f t="shared" si="30"/>
        <v>-500</v>
      </c>
    </row>
    <row r="93" spans="1:13" ht="31.2">
      <c r="A93" s="22" t="s">
        <v>22</v>
      </c>
      <c r="B93" s="20">
        <v>871</v>
      </c>
      <c r="C93" s="19" t="s">
        <v>12</v>
      </c>
      <c r="D93" s="19" t="s">
        <v>47</v>
      </c>
      <c r="E93" s="19" t="s">
        <v>36</v>
      </c>
      <c r="F93" s="19" t="s">
        <v>17</v>
      </c>
      <c r="G93" s="19" t="s">
        <v>34</v>
      </c>
      <c r="H93" s="19" t="s">
        <v>145</v>
      </c>
      <c r="I93" s="19" t="s">
        <v>23</v>
      </c>
      <c r="J93" s="64">
        <f>5000+31200</f>
        <v>36200</v>
      </c>
      <c r="K93" s="64">
        <v>36700</v>
      </c>
      <c r="L93" s="64">
        <v>36700</v>
      </c>
      <c r="M93" s="180">
        <f t="shared" si="30"/>
        <v>-500</v>
      </c>
    </row>
    <row r="94" spans="1:13" ht="46.8">
      <c r="A94" s="21" t="s">
        <v>151</v>
      </c>
      <c r="B94" s="20">
        <v>871</v>
      </c>
      <c r="C94" s="19" t="s">
        <v>12</v>
      </c>
      <c r="D94" s="20">
        <v>13</v>
      </c>
      <c r="E94" s="19" t="s">
        <v>64</v>
      </c>
      <c r="F94" s="20">
        <v>0</v>
      </c>
      <c r="G94" s="19" t="s">
        <v>15</v>
      </c>
      <c r="H94" s="19" t="s">
        <v>16</v>
      </c>
      <c r="I94" s="20"/>
      <c r="J94" s="64">
        <f>J95</f>
        <v>14313</v>
      </c>
      <c r="K94" s="64">
        <f t="shared" ref="K94:L94" si="36">K95</f>
        <v>14313</v>
      </c>
      <c r="L94" s="64">
        <f t="shared" si="36"/>
        <v>14313</v>
      </c>
      <c r="M94" s="180">
        <f t="shared" si="30"/>
        <v>0</v>
      </c>
    </row>
    <row r="95" spans="1:13" ht="46.8">
      <c r="A95" s="21" t="s">
        <v>152</v>
      </c>
      <c r="B95" s="20">
        <v>871</v>
      </c>
      <c r="C95" s="19" t="s">
        <v>12</v>
      </c>
      <c r="D95" s="20">
        <v>13</v>
      </c>
      <c r="E95" s="19" t="s">
        <v>64</v>
      </c>
      <c r="F95" s="20">
        <v>0</v>
      </c>
      <c r="G95" s="19" t="s">
        <v>15</v>
      </c>
      <c r="H95" s="19" t="s">
        <v>16</v>
      </c>
      <c r="I95" s="20"/>
      <c r="J95" s="64">
        <f>J96+J99+J101+J103</f>
        <v>14313</v>
      </c>
      <c r="K95" s="64">
        <f t="shared" ref="K95:L95" si="37">K96+K99+K101+K103</f>
        <v>14313</v>
      </c>
      <c r="L95" s="64">
        <f t="shared" si="37"/>
        <v>14313</v>
      </c>
      <c r="M95" s="180">
        <f t="shared" si="30"/>
        <v>0</v>
      </c>
    </row>
    <row r="96" spans="1:13" ht="46.8">
      <c r="A96" s="22" t="s">
        <v>153</v>
      </c>
      <c r="B96" s="20">
        <v>871</v>
      </c>
      <c r="C96" s="19" t="s">
        <v>12</v>
      </c>
      <c r="D96" s="19" t="s">
        <v>47</v>
      </c>
      <c r="E96" s="19" t="s">
        <v>64</v>
      </c>
      <c r="F96" s="19" t="s">
        <v>14</v>
      </c>
      <c r="G96" s="19" t="s">
        <v>15</v>
      </c>
      <c r="H96" s="19" t="s">
        <v>154</v>
      </c>
      <c r="I96" s="19"/>
      <c r="J96" s="64">
        <f>SUM(J97:J98)</f>
        <v>3813</v>
      </c>
      <c r="K96" s="64">
        <f t="shared" ref="K96:L96" si="38">SUM(K97:K98)</f>
        <v>3813</v>
      </c>
      <c r="L96" s="64">
        <f t="shared" si="38"/>
        <v>3813</v>
      </c>
      <c r="M96" s="180">
        <f t="shared" si="30"/>
        <v>0</v>
      </c>
    </row>
    <row r="97" spans="1:13" ht="31.2" hidden="1">
      <c r="A97" s="22" t="s">
        <v>22</v>
      </c>
      <c r="B97" s="20">
        <v>871</v>
      </c>
      <c r="C97" s="19" t="s">
        <v>12</v>
      </c>
      <c r="D97" s="19" t="s">
        <v>47</v>
      </c>
      <c r="E97" s="19" t="s">
        <v>64</v>
      </c>
      <c r="F97" s="19" t="s">
        <v>14</v>
      </c>
      <c r="G97" s="19" t="s">
        <v>15</v>
      </c>
      <c r="H97" s="19" t="s">
        <v>154</v>
      </c>
      <c r="I97" s="19" t="s">
        <v>23</v>
      </c>
      <c r="J97" s="64">
        <f>5000-5000</f>
        <v>0</v>
      </c>
      <c r="K97" s="64">
        <f t="shared" ref="K97:L97" si="39">5000-5000</f>
        <v>0</v>
      </c>
      <c r="L97" s="64">
        <f t="shared" si="39"/>
        <v>0</v>
      </c>
      <c r="M97" s="180">
        <f t="shared" si="30"/>
        <v>0</v>
      </c>
    </row>
    <row r="98" spans="1:13">
      <c r="A98" s="22" t="s">
        <v>59</v>
      </c>
      <c r="B98" s="20">
        <v>871</v>
      </c>
      <c r="C98" s="19" t="s">
        <v>12</v>
      </c>
      <c r="D98" s="19" t="s">
        <v>47</v>
      </c>
      <c r="E98" s="19" t="s">
        <v>64</v>
      </c>
      <c r="F98" s="19" t="s">
        <v>14</v>
      </c>
      <c r="G98" s="19" t="s">
        <v>15</v>
      </c>
      <c r="H98" s="19" t="s">
        <v>154</v>
      </c>
      <c r="I98" s="19" t="s">
        <v>60</v>
      </c>
      <c r="J98" s="64">
        <f>15300-4500-6987</f>
        <v>3813</v>
      </c>
      <c r="K98" s="64">
        <v>3813</v>
      </c>
      <c r="L98" s="64">
        <v>3813</v>
      </c>
      <c r="M98" s="180">
        <f t="shared" si="30"/>
        <v>0</v>
      </c>
    </row>
    <row r="99" spans="1:13" ht="31.2">
      <c r="A99" s="22" t="s">
        <v>416</v>
      </c>
      <c r="B99" s="82">
        <v>871</v>
      </c>
      <c r="C99" s="81" t="s">
        <v>12</v>
      </c>
      <c r="D99" s="81" t="s">
        <v>47</v>
      </c>
      <c r="E99" s="81" t="s">
        <v>64</v>
      </c>
      <c r="F99" s="81" t="s">
        <v>14</v>
      </c>
      <c r="G99" s="81" t="s">
        <v>15</v>
      </c>
      <c r="H99" s="81" t="s">
        <v>415</v>
      </c>
      <c r="I99" s="81"/>
      <c r="J99" s="64">
        <f>J100</f>
        <v>4500</v>
      </c>
      <c r="K99" s="64">
        <f t="shared" ref="K99:L99" si="40">K100</f>
        <v>4500</v>
      </c>
      <c r="L99" s="64">
        <f t="shared" si="40"/>
        <v>4500</v>
      </c>
      <c r="M99" s="180">
        <f t="shared" si="30"/>
        <v>0</v>
      </c>
    </row>
    <row r="100" spans="1:13">
      <c r="A100" s="22" t="s">
        <v>39</v>
      </c>
      <c r="B100" s="82">
        <v>871</v>
      </c>
      <c r="C100" s="81" t="s">
        <v>12</v>
      </c>
      <c r="D100" s="81" t="s">
        <v>47</v>
      </c>
      <c r="E100" s="81" t="s">
        <v>64</v>
      </c>
      <c r="F100" s="81" t="s">
        <v>14</v>
      </c>
      <c r="G100" s="81" t="s">
        <v>15</v>
      </c>
      <c r="H100" s="81" t="s">
        <v>415</v>
      </c>
      <c r="I100" s="81" t="s">
        <v>40</v>
      </c>
      <c r="J100" s="64">
        <v>4500</v>
      </c>
      <c r="K100" s="64">
        <v>4500</v>
      </c>
      <c r="L100" s="64">
        <v>4500</v>
      </c>
      <c r="M100" s="180">
        <f t="shared" si="30"/>
        <v>0</v>
      </c>
    </row>
    <row r="101" spans="1:13" ht="62.4">
      <c r="A101" s="22" t="s">
        <v>414</v>
      </c>
      <c r="B101" s="80">
        <v>871</v>
      </c>
      <c r="C101" s="79" t="s">
        <v>12</v>
      </c>
      <c r="D101" s="79" t="s">
        <v>47</v>
      </c>
      <c r="E101" s="79" t="s">
        <v>64</v>
      </c>
      <c r="F101" s="79" t="s">
        <v>14</v>
      </c>
      <c r="G101" s="79" t="s">
        <v>15</v>
      </c>
      <c r="H101" s="79" t="s">
        <v>407</v>
      </c>
      <c r="I101" s="79"/>
      <c r="J101" s="64">
        <f>J102</f>
        <v>4500</v>
      </c>
      <c r="K101" s="64">
        <f t="shared" ref="K101:L101" si="41">K102</f>
        <v>4500</v>
      </c>
      <c r="L101" s="64">
        <f t="shared" si="41"/>
        <v>4500</v>
      </c>
      <c r="M101" s="180">
        <f t="shared" si="30"/>
        <v>0</v>
      </c>
    </row>
    <row r="102" spans="1:13">
      <c r="A102" s="22" t="s">
        <v>39</v>
      </c>
      <c r="B102" s="80">
        <v>871</v>
      </c>
      <c r="C102" s="79" t="s">
        <v>12</v>
      </c>
      <c r="D102" s="79" t="s">
        <v>47</v>
      </c>
      <c r="E102" s="79" t="s">
        <v>64</v>
      </c>
      <c r="F102" s="79" t="s">
        <v>14</v>
      </c>
      <c r="G102" s="79" t="s">
        <v>15</v>
      </c>
      <c r="H102" s="79" t="s">
        <v>407</v>
      </c>
      <c r="I102" s="79" t="s">
        <v>40</v>
      </c>
      <c r="J102" s="64">
        <f>4500</f>
        <v>4500</v>
      </c>
      <c r="K102" s="64">
        <v>4500</v>
      </c>
      <c r="L102" s="64">
        <v>4500</v>
      </c>
      <c r="M102" s="180">
        <f t="shared" si="30"/>
        <v>0</v>
      </c>
    </row>
    <row r="103" spans="1:13" ht="46.8">
      <c r="A103" s="22" t="s">
        <v>4</v>
      </c>
      <c r="B103" s="20">
        <v>871</v>
      </c>
      <c r="C103" s="19" t="s">
        <v>12</v>
      </c>
      <c r="D103" s="19" t="s">
        <v>47</v>
      </c>
      <c r="E103" s="19" t="s">
        <v>64</v>
      </c>
      <c r="F103" s="19" t="s">
        <v>14</v>
      </c>
      <c r="G103" s="19" t="s">
        <v>15</v>
      </c>
      <c r="H103" s="19" t="s">
        <v>155</v>
      </c>
      <c r="I103" s="19"/>
      <c r="J103" s="64">
        <f>J104</f>
        <v>1500</v>
      </c>
      <c r="K103" s="64">
        <f t="shared" ref="K103:L103" si="42">K104</f>
        <v>1500</v>
      </c>
      <c r="L103" s="64">
        <f t="shared" si="42"/>
        <v>1500</v>
      </c>
      <c r="M103" s="180">
        <f t="shared" si="30"/>
        <v>0</v>
      </c>
    </row>
    <row r="104" spans="1:13">
      <c r="A104" s="22" t="s">
        <v>59</v>
      </c>
      <c r="B104" s="20">
        <v>871</v>
      </c>
      <c r="C104" s="19" t="s">
        <v>12</v>
      </c>
      <c r="D104" s="19" t="s">
        <v>47</v>
      </c>
      <c r="E104" s="19" t="s">
        <v>64</v>
      </c>
      <c r="F104" s="19" t="s">
        <v>14</v>
      </c>
      <c r="G104" s="19" t="s">
        <v>15</v>
      </c>
      <c r="H104" s="19" t="s">
        <v>155</v>
      </c>
      <c r="I104" s="19" t="s">
        <v>60</v>
      </c>
      <c r="J104" s="64">
        <f>6000-4500</f>
        <v>1500</v>
      </c>
      <c r="K104" s="64">
        <v>1500</v>
      </c>
      <c r="L104" s="64">
        <v>1500</v>
      </c>
      <c r="M104" s="180">
        <f t="shared" si="30"/>
        <v>0</v>
      </c>
    </row>
    <row r="105" spans="1:13" ht="62.4">
      <c r="A105" s="21" t="s">
        <v>156</v>
      </c>
      <c r="B105" s="19" t="s">
        <v>5</v>
      </c>
      <c r="C105" s="19" t="s">
        <v>12</v>
      </c>
      <c r="D105" s="19" t="s">
        <v>47</v>
      </c>
      <c r="E105" s="19" t="s">
        <v>38</v>
      </c>
      <c r="F105" s="20">
        <v>0</v>
      </c>
      <c r="G105" s="19" t="s">
        <v>15</v>
      </c>
      <c r="H105" s="19" t="s">
        <v>16</v>
      </c>
      <c r="I105" s="20"/>
      <c r="J105" s="64">
        <f>J106</f>
        <v>30600</v>
      </c>
      <c r="K105" s="64">
        <f t="shared" ref="K105:L107" si="43">K106</f>
        <v>30600</v>
      </c>
      <c r="L105" s="64">
        <f t="shared" si="43"/>
        <v>26500</v>
      </c>
      <c r="M105" s="180">
        <f t="shared" si="30"/>
        <v>4100</v>
      </c>
    </row>
    <row r="106" spans="1:13">
      <c r="A106" s="22" t="s">
        <v>157</v>
      </c>
      <c r="B106" s="19" t="s">
        <v>5</v>
      </c>
      <c r="C106" s="19" t="s">
        <v>12</v>
      </c>
      <c r="D106" s="19" t="s">
        <v>47</v>
      </c>
      <c r="E106" s="19" t="s">
        <v>38</v>
      </c>
      <c r="F106" s="19" t="s">
        <v>14</v>
      </c>
      <c r="G106" s="19" t="s">
        <v>12</v>
      </c>
      <c r="H106" s="19" t="s">
        <v>16</v>
      </c>
      <c r="I106" s="19"/>
      <c r="J106" s="64">
        <f>J107</f>
        <v>30600</v>
      </c>
      <c r="K106" s="64">
        <f t="shared" si="43"/>
        <v>30600</v>
      </c>
      <c r="L106" s="64">
        <f t="shared" si="43"/>
        <v>26500</v>
      </c>
      <c r="M106" s="180">
        <f t="shared" si="30"/>
        <v>4100</v>
      </c>
    </row>
    <row r="107" spans="1:13" ht="31.2">
      <c r="A107" s="22" t="s">
        <v>158</v>
      </c>
      <c r="B107" s="19" t="s">
        <v>5</v>
      </c>
      <c r="C107" s="19" t="s">
        <v>12</v>
      </c>
      <c r="D107" s="19" t="s">
        <v>47</v>
      </c>
      <c r="E107" s="19" t="s">
        <v>38</v>
      </c>
      <c r="F107" s="19" t="s">
        <v>14</v>
      </c>
      <c r="G107" s="19" t="s">
        <v>12</v>
      </c>
      <c r="H107" s="19" t="s">
        <v>159</v>
      </c>
      <c r="I107" s="19"/>
      <c r="J107" s="64">
        <f>J108</f>
        <v>30600</v>
      </c>
      <c r="K107" s="64">
        <f t="shared" si="43"/>
        <v>30600</v>
      </c>
      <c r="L107" s="64">
        <f t="shared" si="43"/>
        <v>26500</v>
      </c>
      <c r="M107" s="180">
        <f t="shared" si="30"/>
        <v>4100</v>
      </c>
    </row>
    <row r="108" spans="1:13" ht="31.2">
      <c r="A108" s="22" t="s">
        <v>22</v>
      </c>
      <c r="B108" s="19" t="s">
        <v>5</v>
      </c>
      <c r="C108" s="19" t="s">
        <v>12</v>
      </c>
      <c r="D108" s="19" t="s">
        <v>47</v>
      </c>
      <c r="E108" s="19" t="s">
        <v>38</v>
      </c>
      <c r="F108" s="19" t="s">
        <v>14</v>
      </c>
      <c r="G108" s="19" t="s">
        <v>12</v>
      </c>
      <c r="H108" s="19" t="s">
        <v>159</v>
      </c>
      <c r="I108" s="19" t="s">
        <v>23</v>
      </c>
      <c r="J108" s="64">
        <f>190000-140000-19400</f>
        <v>30600</v>
      </c>
      <c r="K108" s="64">
        <v>30600</v>
      </c>
      <c r="L108" s="64">
        <v>26500</v>
      </c>
      <c r="M108" s="180">
        <f t="shared" si="30"/>
        <v>4100</v>
      </c>
    </row>
    <row r="109" spans="1:13" ht="62.4">
      <c r="A109" s="21" t="s">
        <v>102</v>
      </c>
      <c r="B109" s="20">
        <v>871</v>
      </c>
      <c r="C109" s="19" t="s">
        <v>12</v>
      </c>
      <c r="D109" s="20">
        <v>13</v>
      </c>
      <c r="E109" s="19" t="s">
        <v>42</v>
      </c>
      <c r="F109" s="20">
        <v>0</v>
      </c>
      <c r="G109" s="19" t="s">
        <v>15</v>
      </c>
      <c r="H109" s="19" t="s">
        <v>16</v>
      </c>
      <c r="I109" s="20"/>
      <c r="J109" s="64">
        <f>J110</f>
        <v>84000</v>
      </c>
      <c r="K109" s="64">
        <f t="shared" ref="K109:L111" si="44">K110</f>
        <v>84000</v>
      </c>
      <c r="L109" s="64">
        <f t="shared" si="44"/>
        <v>70000</v>
      </c>
      <c r="M109" s="180">
        <f t="shared" si="30"/>
        <v>14000</v>
      </c>
    </row>
    <row r="110" spans="1:13" ht="31.2">
      <c r="A110" s="22" t="s">
        <v>103</v>
      </c>
      <c r="B110" s="20">
        <v>871</v>
      </c>
      <c r="C110" s="19" t="s">
        <v>12</v>
      </c>
      <c r="D110" s="19" t="s">
        <v>47</v>
      </c>
      <c r="E110" s="19" t="s">
        <v>42</v>
      </c>
      <c r="F110" s="19" t="s">
        <v>14</v>
      </c>
      <c r="G110" s="19" t="s">
        <v>12</v>
      </c>
      <c r="H110" s="19" t="s">
        <v>16</v>
      </c>
      <c r="I110" s="19"/>
      <c r="J110" s="64">
        <f>J111</f>
        <v>84000</v>
      </c>
      <c r="K110" s="64">
        <f t="shared" si="44"/>
        <v>84000</v>
      </c>
      <c r="L110" s="64">
        <f t="shared" si="44"/>
        <v>70000</v>
      </c>
      <c r="M110" s="180">
        <f t="shared" si="30"/>
        <v>14000</v>
      </c>
    </row>
    <row r="111" spans="1:13" ht="31.2">
      <c r="A111" s="22" t="s">
        <v>103</v>
      </c>
      <c r="B111" s="20">
        <v>871</v>
      </c>
      <c r="C111" s="19" t="s">
        <v>12</v>
      </c>
      <c r="D111" s="19" t="s">
        <v>47</v>
      </c>
      <c r="E111" s="19" t="s">
        <v>42</v>
      </c>
      <c r="F111" s="19" t="s">
        <v>14</v>
      </c>
      <c r="G111" s="19" t="s">
        <v>12</v>
      </c>
      <c r="H111" s="19" t="s">
        <v>104</v>
      </c>
      <c r="I111" s="19"/>
      <c r="J111" s="64">
        <f>J112</f>
        <v>84000</v>
      </c>
      <c r="K111" s="64">
        <f t="shared" si="44"/>
        <v>84000</v>
      </c>
      <c r="L111" s="64">
        <f t="shared" si="44"/>
        <v>70000</v>
      </c>
      <c r="M111" s="180">
        <f t="shared" si="30"/>
        <v>14000</v>
      </c>
    </row>
    <row r="112" spans="1:13" ht="31.2">
      <c r="A112" s="22" t="s">
        <v>22</v>
      </c>
      <c r="B112" s="20">
        <v>871</v>
      </c>
      <c r="C112" s="19" t="s">
        <v>12</v>
      </c>
      <c r="D112" s="19" t="s">
        <v>47</v>
      </c>
      <c r="E112" s="19" t="s">
        <v>42</v>
      </c>
      <c r="F112" s="19" t="s">
        <v>14</v>
      </c>
      <c r="G112" s="19" t="s">
        <v>12</v>
      </c>
      <c r="H112" s="19" t="s">
        <v>104</v>
      </c>
      <c r="I112" s="19" t="s">
        <v>23</v>
      </c>
      <c r="J112" s="64">
        <v>84000</v>
      </c>
      <c r="K112" s="64">
        <v>84000</v>
      </c>
      <c r="L112" s="64">
        <v>70000</v>
      </c>
      <c r="M112" s="180">
        <f t="shared" si="30"/>
        <v>14000</v>
      </c>
    </row>
    <row r="113" spans="1:13" ht="62.4">
      <c r="A113" s="21" t="s">
        <v>160</v>
      </c>
      <c r="B113" s="20">
        <v>871</v>
      </c>
      <c r="C113" s="19" t="s">
        <v>12</v>
      </c>
      <c r="D113" s="20">
        <v>13</v>
      </c>
      <c r="E113" s="19" t="s">
        <v>47</v>
      </c>
      <c r="F113" s="20">
        <v>0</v>
      </c>
      <c r="G113" s="19" t="s">
        <v>15</v>
      </c>
      <c r="H113" s="19" t="s">
        <v>16</v>
      </c>
      <c r="I113" s="20"/>
      <c r="J113" s="64">
        <f>J115+J118+J121+J123+J126</f>
        <v>10000</v>
      </c>
      <c r="K113" s="64">
        <f t="shared" ref="K113:L113" si="45">K115+K118+K121+K123+K126</f>
        <v>10000</v>
      </c>
      <c r="L113" s="64">
        <f t="shared" si="45"/>
        <v>0</v>
      </c>
      <c r="M113" s="180">
        <f t="shared" si="30"/>
        <v>10000</v>
      </c>
    </row>
    <row r="114" spans="1:13" ht="46.8" hidden="1">
      <c r="A114" s="21" t="s">
        <v>328</v>
      </c>
      <c r="B114" s="20">
        <v>871</v>
      </c>
      <c r="C114" s="19" t="s">
        <v>12</v>
      </c>
      <c r="D114" s="19" t="s">
        <v>47</v>
      </c>
      <c r="E114" s="19" t="s">
        <v>47</v>
      </c>
      <c r="F114" s="19" t="s">
        <v>14</v>
      </c>
      <c r="G114" s="19" t="s">
        <v>12</v>
      </c>
      <c r="H114" s="19" t="s">
        <v>16</v>
      </c>
      <c r="I114" s="20"/>
      <c r="J114" s="64">
        <f>J115</f>
        <v>0</v>
      </c>
      <c r="K114" s="64">
        <f t="shared" ref="K114:L115" si="46">K115</f>
        <v>0</v>
      </c>
      <c r="L114" s="64">
        <f t="shared" si="46"/>
        <v>0</v>
      </c>
      <c r="M114" s="180">
        <f t="shared" si="30"/>
        <v>0</v>
      </c>
    </row>
    <row r="115" spans="1:13" ht="31.2" hidden="1">
      <c r="A115" s="22" t="s">
        <v>329</v>
      </c>
      <c r="B115" s="20">
        <v>871</v>
      </c>
      <c r="C115" s="25" t="s">
        <v>12</v>
      </c>
      <c r="D115" s="25" t="s">
        <v>47</v>
      </c>
      <c r="E115" s="25" t="s">
        <v>47</v>
      </c>
      <c r="F115" s="25" t="s">
        <v>14</v>
      </c>
      <c r="G115" s="25" t="s">
        <v>12</v>
      </c>
      <c r="H115" s="25" t="s">
        <v>330</v>
      </c>
      <c r="I115" s="25"/>
      <c r="J115" s="64">
        <f>J116</f>
        <v>0</v>
      </c>
      <c r="K115" s="64">
        <f t="shared" si="46"/>
        <v>0</v>
      </c>
      <c r="L115" s="64">
        <f t="shared" si="46"/>
        <v>0</v>
      </c>
      <c r="M115" s="180">
        <f t="shared" si="30"/>
        <v>0</v>
      </c>
    </row>
    <row r="116" spans="1:13" ht="31.2" hidden="1">
      <c r="A116" s="22" t="s">
        <v>22</v>
      </c>
      <c r="B116" s="19" t="s">
        <v>5</v>
      </c>
      <c r="C116" s="25" t="s">
        <v>12</v>
      </c>
      <c r="D116" s="25" t="s">
        <v>47</v>
      </c>
      <c r="E116" s="25" t="s">
        <v>47</v>
      </c>
      <c r="F116" s="25" t="s">
        <v>14</v>
      </c>
      <c r="G116" s="25" t="s">
        <v>12</v>
      </c>
      <c r="H116" s="25" t="s">
        <v>330</v>
      </c>
      <c r="I116" s="25" t="s">
        <v>23</v>
      </c>
      <c r="J116" s="64"/>
      <c r="K116" s="64"/>
      <c r="L116" s="64"/>
      <c r="M116" s="180">
        <f t="shared" si="30"/>
        <v>0</v>
      </c>
    </row>
    <row r="117" spans="1:13" ht="46.8">
      <c r="A117" s="22" t="s">
        <v>161</v>
      </c>
      <c r="B117" s="19" t="s">
        <v>5</v>
      </c>
      <c r="C117" s="19" t="s">
        <v>12</v>
      </c>
      <c r="D117" s="19" t="s">
        <v>47</v>
      </c>
      <c r="E117" s="19" t="s">
        <v>47</v>
      </c>
      <c r="F117" s="19" t="s">
        <v>14</v>
      </c>
      <c r="G117" s="19" t="s">
        <v>13</v>
      </c>
      <c r="H117" s="19" t="s">
        <v>16</v>
      </c>
      <c r="I117" s="19"/>
      <c r="J117" s="64">
        <f>J118</f>
        <v>10000</v>
      </c>
      <c r="K117" s="64">
        <f t="shared" ref="K117:L118" si="47">K118</f>
        <v>10000</v>
      </c>
      <c r="L117" s="64">
        <f t="shared" si="47"/>
        <v>0</v>
      </c>
      <c r="M117" s="180">
        <f t="shared" si="30"/>
        <v>10000</v>
      </c>
    </row>
    <row r="118" spans="1:13" ht="31.2">
      <c r="A118" s="22" t="s">
        <v>162</v>
      </c>
      <c r="B118" s="19" t="s">
        <v>5</v>
      </c>
      <c r="C118" s="19" t="s">
        <v>12</v>
      </c>
      <c r="D118" s="19" t="s">
        <v>47</v>
      </c>
      <c r="E118" s="19" t="s">
        <v>47</v>
      </c>
      <c r="F118" s="19" t="s">
        <v>14</v>
      </c>
      <c r="G118" s="19" t="s">
        <v>13</v>
      </c>
      <c r="H118" s="19" t="s">
        <v>163</v>
      </c>
      <c r="I118" s="19"/>
      <c r="J118" s="64">
        <f>J119</f>
        <v>10000</v>
      </c>
      <c r="K118" s="64">
        <f t="shared" si="47"/>
        <v>10000</v>
      </c>
      <c r="L118" s="64">
        <f t="shared" si="47"/>
        <v>0</v>
      </c>
      <c r="M118" s="180">
        <f t="shared" si="30"/>
        <v>10000</v>
      </c>
    </row>
    <row r="119" spans="1:13" ht="31.2">
      <c r="A119" s="22" t="s">
        <v>22</v>
      </c>
      <c r="B119" s="20">
        <v>871</v>
      </c>
      <c r="C119" s="19" t="s">
        <v>12</v>
      </c>
      <c r="D119" s="19" t="s">
        <v>47</v>
      </c>
      <c r="E119" s="19" t="s">
        <v>47</v>
      </c>
      <c r="F119" s="19" t="s">
        <v>14</v>
      </c>
      <c r="G119" s="19" t="s">
        <v>13</v>
      </c>
      <c r="H119" s="19" t="s">
        <v>163</v>
      </c>
      <c r="I119" s="19" t="s">
        <v>23</v>
      </c>
      <c r="J119" s="64">
        <v>10000</v>
      </c>
      <c r="K119" s="64">
        <v>10000</v>
      </c>
      <c r="L119" s="64">
        <v>0</v>
      </c>
      <c r="M119" s="180">
        <f t="shared" si="30"/>
        <v>10000</v>
      </c>
    </row>
    <row r="120" spans="1:13" ht="62.4" hidden="1">
      <c r="A120" s="22" t="s">
        <v>164</v>
      </c>
      <c r="B120" s="20">
        <v>871</v>
      </c>
      <c r="C120" s="19" t="s">
        <v>12</v>
      </c>
      <c r="D120" s="19" t="s">
        <v>47</v>
      </c>
      <c r="E120" s="19" t="s">
        <v>47</v>
      </c>
      <c r="F120" s="19" t="s">
        <v>14</v>
      </c>
      <c r="G120" s="19" t="s">
        <v>19</v>
      </c>
      <c r="H120" s="19"/>
      <c r="I120" s="19"/>
      <c r="J120" s="64">
        <f>J121</f>
        <v>0</v>
      </c>
      <c r="K120" s="64">
        <f t="shared" ref="K120:L121" si="48">K121</f>
        <v>0</v>
      </c>
      <c r="L120" s="64">
        <f t="shared" si="48"/>
        <v>0</v>
      </c>
      <c r="M120" s="180">
        <f t="shared" si="30"/>
        <v>0</v>
      </c>
    </row>
    <row r="121" spans="1:13" ht="31.2" hidden="1">
      <c r="A121" s="22" t="s">
        <v>165</v>
      </c>
      <c r="B121" s="20">
        <v>871</v>
      </c>
      <c r="C121" s="19" t="s">
        <v>12</v>
      </c>
      <c r="D121" s="19" t="s">
        <v>47</v>
      </c>
      <c r="E121" s="19" t="s">
        <v>47</v>
      </c>
      <c r="F121" s="19" t="s">
        <v>14</v>
      </c>
      <c r="G121" s="19" t="s">
        <v>19</v>
      </c>
      <c r="H121" s="19" t="s">
        <v>166</v>
      </c>
      <c r="I121" s="19"/>
      <c r="J121" s="64">
        <f>J122</f>
        <v>0</v>
      </c>
      <c r="K121" s="64">
        <f t="shared" si="48"/>
        <v>0</v>
      </c>
      <c r="L121" s="64">
        <f t="shared" si="48"/>
        <v>0</v>
      </c>
      <c r="M121" s="180">
        <f t="shared" si="30"/>
        <v>0</v>
      </c>
    </row>
    <row r="122" spans="1:13" ht="31.2" hidden="1">
      <c r="A122" s="22" t="s">
        <v>22</v>
      </c>
      <c r="B122" s="20">
        <v>871</v>
      </c>
      <c r="C122" s="19" t="s">
        <v>12</v>
      </c>
      <c r="D122" s="19" t="s">
        <v>47</v>
      </c>
      <c r="E122" s="19" t="s">
        <v>47</v>
      </c>
      <c r="F122" s="19" t="s">
        <v>14</v>
      </c>
      <c r="G122" s="19" t="s">
        <v>19</v>
      </c>
      <c r="H122" s="19" t="s">
        <v>166</v>
      </c>
      <c r="I122" s="19" t="s">
        <v>23</v>
      </c>
      <c r="J122" s="64"/>
      <c r="K122" s="64"/>
      <c r="L122" s="64"/>
      <c r="M122" s="180">
        <f t="shared" si="30"/>
        <v>0</v>
      </c>
    </row>
    <row r="123" spans="1:13" ht="62.4" hidden="1">
      <c r="A123" s="22" t="s">
        <v>331</v>
      </c>
      <c r="B123" s="20">
        <v>871</v>
      </c>
      <c r="C123" s="19" t="s">
        <v>12</v>
      </c>
      <c r="D123" s="19" t="s">
        <v>47</v>
      </c>
      <c r="E123" s="19" t="s">
        <v>47</v>
      </c>
      <c r="F123" s="19" t="s">
        <v>14</v>
      </c>
      <c r="G123" s="19" t="s">
        <v>31</v>
      </c>
      <c r="H123" s="19"/>
      <c r="I123" s="19"/>
      <c r="J123" s="64">
        <f>J124</f>
        <v>0</v>
      </c>
      <c r="K123" s="64">
        <f t="shared" ref="K123:L124" si="49">K124</f>
        <v>0</v>
      </c>
      <c r="L123" s="64">
        <f t="shared" si="49"/>
        <v>0</v>
      </c>
      <c r="M123" s="180">
        <f t="shared" si="30"/>
        <v>0</v>
      </c>
    </row>
    <row r="124" spans="1:13" ht="31.2" hidden="1">
      <c r="A124" s="22" t="s">
        <v>332</v>
      </c>
      <c r="B124" s="20">
        <v>871</v>
      </c>
      <c r="C124" s="19" t="s">
        <v>12</v>
      </c>
      <c r="D124" s="19" t="s">
        <v>47</v>
      </c>
      <c r="E124" s="19" t="s">
        <v>47</v>
      </c>
      <c r="F124" s="19" t="s">
        <v>14</v>
      </c>
      <c r="G124" s="19" t="s">
        <v>31</v>
      </c>
      <c r="H124" s="19" t="s">
        <v>333</v>
      </c>
      <c r="I124" s="19"/>
      <c r="J124" s="64">
        <f>J125</f>
        <v>0</v>
      </c>
      <c r="K124" s="64">
        <f t="shared" si="49"/>
        <v>0</v>
      </c>
      <c r="L124" s="64">
        <f t="shared" si="49"/>
        <v>0</v>
      </c>
      <c r="M124" s="180">
        <f t="shared" si="30"/>
        <v>0</v>
      </c>
    </row>
    <row r="125" spans="1:13" ht="31.2" hidden="1">
      <c r="A125" s="22" t="s">
        <v>22</v>
      </c>
      <c r="B125" s="20">
        <v>871</v>
      </c>
      <c r="C125" s="19" t="s">
        <v>12</v>
      </c>
      <c r="D125" s="19" t="s">
        <v>47</v>
      </c>
      <c r="E125" s="19" t="s">
        <v>47</v>
      </c>
      <c r="F125" s="19" t="s">
        <v>14</v>
      </c>
      <c r="G125" s="19" t="s">
        <v>31</v>
      </c>
      <c r="H125" s="19" t="s">
        <v>333</v>
      </c>
      <c r="I125" s="19" t="s">
        <v>23</v>
      </c>
      <c r="J125" s="64"/>
      <c r="K125" s="64"/>
      <c r="L125" s="64"/>
      <c r="M125" s="180">
        <f t="shared" si="30"/>
        <v>0</v>
      </c>
    </row>
    <row r="126" spans="1:13" ht="62.4" hidden="1">
      <c r="A126" s="22" t="s">
        <v>334</v>
      </c>
      <c r="B126" s="20">
        <v>871</v>
      </c>
      <c r="C126" s="19" t="s">
        <v>12</v>
      </c>
      <c r="D126" s="19" t="s">
        <v>47</v>
      </c>
      <c r="E126" s="19" t="s">
        <v>47</v>
      </c>
      <c r="F126" s="19" t="s">
        <v>14</v>
      </c>
      <c r="G126" s="19" t="s">
        <v>32</v>
      </c>
      <c r="H126" s="19"/>
      <c r="I126" s="19"/>
      <c r="J126" s="64">
        <f>J127</f>
        <v>0</v>
      </c>
      <c r="K126" s="64">
        <f t="shared" ref="K126:L127" si="50">K127</f>
        <v>0</v>
      </c>
      <c r="L126" s="64">
        <f t="shared" si="50"/>
        <v>0</v>
      </c>
      <c r="M126" s="180">
        <f t="shared" si="30"/>
        <v>0</v>
      </c>
    </row>
    <row r="127" spans="1:13" ht="31.2" hidden="1">
      <c r="A127" s="22" t="s">
        <v>167</v>
      </c>
      <c r="B127" s="20">
        <v>871</v>
      </c>
      <c r="C127" s="19" t="s">
        <v>12</v>
      </c>
      <c r="D127" s="19" t="s">
        <v>47</v>
      </c>
      <c r="E127" s="19" t="s">
        <v>47</v>
      </c>
      <c r="F127" s="19" t="s">
        <v>14</v>
      </c>
      <c r="G127" s="19" t="s">
        <v>32</v>
      </c>
      <c r="H127" s="19" t="s">
        <v>168</v>
      </c>
      <c r="I127" s="19"/>
      <c r="J127" s="64">
        <f>J128</f>
        <v>0</v>
      </c>
      <c r="K127" s="64">
        <f t="shared" si="50"/>
        <v>0</v>
      </c>
      <c r="L127" s="64">
        <f t="shared" si="50"/>
        <v>0</v>
      </c>
      <c r="M127" s="180">
        <f t="shared" si="30"/>
        <v>0</v>
      </c>
    </row>
    <row r="128" spans="1:13" ht="31.2" hidden="1">
      <c r="A128" s="22" t="s">
        <v>22</v>
      </c>
      <c r="B128" s="20">
        <v>871</v>
      </c>
      <c r="C128" s="19" t="s">
        <v>12</v>
      </c>
      <c r="D128" s="19" t="s">
        <v>47</v>
      </c>
      <c r="E128" s="19" t="s">
        <v>47</v>
      </c>
      <c r="F128" s="19" t="s">
        <v>14</v>
      </c>
      <c r="G128" s="19" t="s">
        <v>32</v>
      </c>
      <c r="H128" s="19" t="s">
        <v>168</v>
      </c>
      <c r="I128" s="19" t="s">
        <v>23</v>
      </c>
      <c r="J128" s="64"/>
      <c r="K128" s="64"/>
      <c r="L128" s="64"/>
      <c r="M128" s="180">
        <f t="shared" si="30"/>
        <v>0</v>
      </c>
    </row>
    <row r="129" spans="1:13">
      <c r="A129" s="22" t="s">
        <v>105</v>
      </c>
      <c r="B129" s="19" t="s">
        <v>5</v>
      </c>
      <c r="C129" s="19" t="s">
        <v>12</v>
      </c>
      <c r="D129" s="19" t="s">
        <v>47</v>
      </c>
      <c r="E129" s="20">
        <v>92</v>
      </c>
      <c r="F129" s="19"/>
      <c r="G129" s="19"/>
      <c r="H129" s="20"/>
      <c r="I129" s="19"/>
      <c r="J129" s="64">
        <f>J130</f>
        <v>20028.07</v>
      </c>
      <c r="K129" s="64">
        <f t="shared" ref="K129:L130" si="51">K130</f>
        <v>20028.07</v>
      </c>
      <c r="L129" s="64">
        <f t="shared" si="51"/>
        <v>20028.07</v>
      </c>
      <c r="M129" s="180">
        <f t="shared" si="30"/>
        <v>0</v>
      </c>
    </row>
    <row r="130" spans="1:13" ht="31.2">
      <c r="A130" s="22" t="s">
        <v>172</v>
      </c>
      <c r="B130" s="19" t="s">
        <v>5</v>
      </c>
      <c r="C130" s="19" t="s">
        <v>12</v>
      </c>
      <c r="D130" s="19" t="s">
        <v>47</v>
      </c>
      <c r="E130" s="20">
        <v>92</v>
      </c>
      <c r="F130" s="19" t="s">
        <v>20</v>
      </c>
      <c r="G130" s="19"/>
      <c r="H130" s="20"/>
      <c r="I130" s="19"/>
      <c r="J130" s="64">
        <f>J131</f>
        <v>20028.07</v>
      </c>
      <c r="K130" s="64">
        <f t="shared" si="51"/>
        <v>20028.07</v>
      </c>
      <c r="L130" s="64">
        <f t="shared" si="51"/>
        <v>20028.07</v>
      </c>
      <c r="M130" s="180">
        <f t="shared" si="30"/>
        <v>0</v>
      </c>
    </row>
    <row r="131" spans="1:13" ht="62.4">
      <c r="A131" s="22" t="s">
        <v>173</v>
      </c>
      <c r="B131" s="19" t="s">
        <v>5</v>
      </c>
      <c r="C131" s="19" t="s">
        <v>12</v>
      </c>
      <c r="D131" s="19" t="s">
        <v>47</v>
      </c>
      <c r="E131" s="20">
        <v>92</v>
      </c>
      <c r="F131" s="19" t="s">
        <v>20</v>
      </c>
      <c r="G131" s="19" t="s">
        <v>15</v>
      </c>
      <c r="H131" s="20"/>
      <c r="I131" s="19"/>
      <c r="J131" s="64">
        <f>SUM(J132:J134)</f>
        <v>20028.07</v>
      </c>
      <c r="K131" s="64">
        <f t="shared" ref="K131:L131" si="52">SUM(K132:K134)</f>
        <v>20028.07</v>
      </c>
      <c r="L131" s="64">
        <f t="shared" si="52"/>
        <v>20028.07</v>
      </c>
      <c r="M131" s="180">
        <f t="shared" si="30"/>
        <v>0</v>
      </c>
    </row>
    <row r="132" spans="1:13" ht="31.2">
      <c r="A132" s="22" t="s">
        <v>22</v>
      </c>
      <c r="B132" s="19" t="s">
        <v>5</v>
      </c>
      <c r="C132" s="19" t="s">
        <v>12</v>
      </c>
      <c r="D132" s="19" t="s">
        <v>47</v>
      </c>
      <c r="E132" s="20">
        <v>92</v>
      </c>
      <c r="F132" s="19" t="s">
        <v>20</v>
      </c>
      <c r="G132" s="19" t="s">
        <v>15</v>
      </c>
      <c r="H132" s="20">
        <v>26390</v>
      </c>
      <c r="I132" s="19" t="s">
        <v>23</v>
      </c>
      <c r="J132" s="64">
        <f>18028.07</f>
        <v>18028.07</v>
      </c>
      <c r="K132" s="64">
        <v>18028.07</v>
      </c>
      <c r="L132" s="64">
        <v>18028.07</v>
      </c>
      <c r="M132" s="180">
        <f t="shared" si="30"/>
        <v>0</v>
      </c>
    </row>
    <row r="133" spans="1:13">
      <c r="A133" s="22" t="s">
        <v>51</v>
      </c>
      <c r="B133" s="19" t="s">
        <v>5</v>
      </c>
      <c r="C133" s="19" t="s">
        <v>12</v>
      </c>
      <c r="D133" s="19" t="s">
        <v>47</v>
      </c>
      <c r="E133" s="20">
        <v>92</v>
      </c>
      <c r="F133" s="19" t="s">
        <v>20</v>
      </c>
      <c r="G133" s="19" t="s">
        <v>15</v>
      </c>
      <c r="H133" s="20">
        <v>26390</v>
      </c>
      <c r="I133" s="19" t="s">
        <v>52</v>
      </c>
      <c r="J133" s="64">
        <v>2000</v>
      </c>
      <c r="K133" s="64">
        <v>2000</v>
      </c>
      <c r="L133" s="64">
        <v>2000</v>
      </c>
      <c r="M133" s="180">
        <f t="shared" si="30"/>
        <v>0</v>
      </c>
    </row>
    <row r="134" spans="1:13" hidden="1">
      <c r="A134" s="22" t="s">
        <v>24</v>
      </c>
      <c r="B134" s="19" t="s">
        <v>5</v>
      </c>
      <c r="C134" s="19" t="s">
        <v>12</v>
      </c>
      <c r="D134" s="19" t="s">
        <v>47</v>
      </c>
      <c r="E134" s="20">
        <v>92</v>
      </c>
      <c r="F134" s="19" t="s">
        <v>20</v>
      </c>
      <c r="G134" s="19" t="s">
        <v>15</v>
      </c>
      <c r="H134" s="20">
        <v>26390</v>
      </c>
      <c r="I134" s="19" t="s">
        <v>25</v>
      </c>
      <c r="J134" s="64"/>
      <c r="K134" s="64"/>
      <c r="L134" s="64"/>
      <c r="M134" s="180">
        <f t="shared" si="30"/>
        <v>0</v>
      </c>
    </row>
    <row r="135" spans="1:13">
      <c r="A135" s="22" t="s">
        <v>27</v>
      </c>
      <c r="B135" s="19" t="s">
        <v>5</v>
      </c>
      <c r="C135" s="19" t="s">
        <v>12</v>
      </c>
      <c r="D135" s="19" t="s">
        <v>47</v>
      </c>
      <c r="E135" s="19" t="s">
        <v>28</v>
      </c>
      <c r="F135" s="20">
        <v>0</v>
      </c>
      <c r="G135" s="19" t="s">
        <v>15</v>
      </c>
      <c r="H135" s="19" t="s">
        <v>16</v>
      </c>
      <c r="I135" s="20"/>
      <c r="J135" s="64">
        <f>J136</f>
        <v>289224</v>
      </c>
      <c r="K135" s="64">
        <f t="shared" ref="K135:L135" si="53">K136</f>
        <v>289224</v>
      </c>
      <c r="L135" s="64">
        <f t="shared" si="53"/>
        <v>204655.66</v>
      </c>
      <c r="M135" s="180">
        <f t="shared" si="30"/>
        <v>84568.34</v>
      </c>
    </row>
    <row r="136" spans="1:13">
      <c r="A136" s="22" t="s">
        <v>174</v>
      </c>
      <c r="B136" s="19" t="s">
        <v>5</v>
      </c>
      <c r="C136" s="19" t="s">
        <v>12</v>
      </c>
      <c r="D136" s="19" t="s">
        <v>47</v>
      </c>
      <c r="E136" s="19" t="s">
        <v>28</v>
      </c>
      <c r="F136" s="20">
        <v>9</v>
      </c>
      <c r="G136" s="19" t="s">
        <v>15</v>
      </c>
      <c r="H136" s="19" t="s">
        <v>16</v>
      </c>
      <c r="I136" s="20"/>
      <c r="J136" s="64">
        <f>J137+J139</f>
        <v>289224</v>
      </c>
      <c r="K136" s="64">
        <f t="shared" ref="K136:L136" si="54">K137+K139</f>
        <v>289224</v>
      </c>
      <c r="L136" s="64">
        <f t="shared" si="54"/>
        <v>204655.66</v>
      </c>
      <c r="M136" s="180">
        <f t="shared" si="30"/>
        <v>84568.34</v>
      </c>
    </row>
    <row r="137" spans="1:13" ht="46.8">
      <c r="A137" s="22" t="s">
        <v>175</v>
      </c>
      <c r="B137" s="19" t="s">
        <v>5</v>
      </c>
      <c r="C137" s="19" t="s">
        <v>12</v>
      </c>
      <c r="D137" s="19" t="s">
        <v>47</v>
      </c>
      <c r="E137" s="19" t="s">
        <v>28</v>
      </c>
      <c r="F137" s="20">
        <v>9</v>
      </c>
      <c r="G137" s="19" t="s">
        <v>15</v>
      </c>
      <c r="H137" s="19" t="s">
        <v>176</v>
      </c>
      <c r="I137" s="20"/>
      <c r="J137" s="64">
        <f>J138</f>
        <v>271000</v>
      </c>
      <c r="K137" s="64">
        <f t="shared" ref="K137:L137" si="55">K138</f>
        <v>271000</v>
      </c>
      <c r="L137" s="64">
        <f t="shared" si="55"/>
        <v>186997.66</v>
      </c>
      <c r="M137" s="180">
        <f t="shared" si="30"/>
        <v>84002.34</v>
      </c>
    </row>
    <row r="138" spans="1:13" ht="31.2">
      <c r="A138" s="22" t="s">
        <v>22</v>
      </c>
      <c r="B138" s="19" t="s">
        <v>5</v>
      </c>
      <c r="C138" s="19" t="s">
        <v>12</v>
      </c>
      <c r="D138" s="19" t="s">
        <v>47</v>
      </c>
      <c r="E138" s="19" t="s">
        <v>28</v>
      </c>
      <c r="F138" s="20">
        <v>9</v>
      </c>
      <c r="G138" s="19" t="s">
        <v>15</v>
      </c>
      <c r="H138" s="19" t="s">
        <v>176</v>
      </c>
      <c r="I138" s="20">
        <v>240</v>
      </c>
      <c r="J138" s="64">
        <f>151000+120000</f>
        <v>271000</v>
      </c>
      <c r="K138" s="64">
        <v>271000</v>
      </c>
      <c r="L138" s="64">
        <v>186997.66</v>
      </c>
      <c r="M138" s="180">
        <f t="shared" si="30"/>
        <v>84002.34</v>
      </c>
    </row>
    <row r="139" spans="1:13">
      <c r="A139" s="22" t="s">
        <v>177</v>
      </c>
      <c r="B139" s="19" t="s">
        <v>5</v>
      </c>
      <c r="C139" s="19" t="s">
        <v>12</v>
      </c>
      <c r="D139" s="19" t="s">
        <v>47</v>
      </c>
      <c r="E139" s="19" t="s">
        <v>28</v>
      </c>
      <c r="F139" s="20">
        <v>9</v>
      </c>
      <c r="G139" s="19" t="s">
        <v>15</v>
      </c>
      <c r="H139" s="20">
        <v>29090</v>
      </c>
      <c r="I139" s="19"/>
      <c r="J139" s="64">
        <f>J140</f>
        <v>18224</v>
      </c>
      <c r="K139" s="64">
        <f t="shared" ref="K139:L139" si="56">K140</f>
        <v>18224</v>
      </c>
      <c r="L139" s="64">
        <f t="shared" si="56"/>
        <v>17658</v>
      </c>
      <c r="M139" s="180">
        <f t="shared" si="30"/>
        <v>566</v>
      </c>
    </row>
    <row r="140" spans="1:13">
      <c r="A140" s="22" t="s">
        <v>24</v>
      </c>
      <c r="B140" s="19" t="s">
        <v>5</v>
      </c>
      <c r="C140" s="19" t="s">
        <v>12</v>
      </c>
      <c r="D140" s="19" t="s">
        <v>47</v>
      </c>
      <c r="E140" s="19" t="s">
        <v>28</v>
      </c>
      <c r="F140" s="20">
        <v>9</v>
      </c>
      <c r="G140" s="19" t="s">
        <v>15</v>
      </c>
      <c r="H140" s="20">
        <v>29090</v>
      </c>
      <c r="I140" s="19" t="s">
        <v>25</v>
      </c>
      <c r="J140" s="64">
        <v>18224</v>
      </c>
      <c r="K140" s="64">
        <v>18224</v>
      </c>
      <c r="L140" s="64">
        <v>17658</v>
      </c>
      <c r="M140" s="180">
        <f t="shared" si="30"/>
        <v>566</v>
      </c>
    </row>
    <row r="141" spans="1:13">
      <c r="A141" s="29" t="s">
        <v>54</v>
      </c>
      <c r="B141" s="20">
        <v>871</v>
      </c>
      <c r="C141" s="19" t="s">
        <v>13</v>
      </c>
      <c r="D141" s="20" t="s">
        <v>1</v>
      </c>
      <c r="E141" s="19" t="s">
        <v>93</v>
      </c>
      <c r="F141" s="20"/>
      <c r="G141" s="19"/>
      <c r="H141" s="19"/>
      <c r="I141" s="20" t="s">
        <v>94</v>
      </c>
      <c r="J141" s="63">
        <f>J142</f>
        <v>487150</v>
      </c>
      <c r="K141" s="63">
        <f t="shared" ref="K141:L144" si="57">K142</f>
        <v>487150</v>
      </c>
      <c r="L141" s="63">
        <f t="shared" si="57"/>
        <v>487150</v>
      </c>
      <c r="M141" s="180">
        <f t="shared" ref="M141:M204" si="58">J141-L141</f>
        <v>0</v>
      </c>
    </row>
    <row r="142" spans="1:13">
      <c r="A142" s="30" t="s">
        <v>55</v>
      </c>
      <c r="B142" s="20">
        <v>871</v>
      </c>
      <c r="C142" s="19" t="s">
        <v>13</v>
      </c>
      <c r="D142" s="19" t="s">
        <v>19</v>
      </c>
      <c r="E142" s="19" t="s">
        <v>93</v>
      </c>
      <c r="F142" s="20"/>
      <c r="G142" s="19"/>
      <c r="H142" s="19"/>
      <c r="I142" s="20" t="s">
        <v>94</v>
      </c>
      <c r="J142" s="64">
        <f>J143</f>
        <v>487150</v>
      </c>
      <c r="K142" s="64">
        <f t="shared" si="57"/>
        <v>487150</v>
      </c>
      <c r="L142" s="64">
        <f t="shared" si="57"/>
        <v>487150</v>
      </c>
      <c r="M142" s="180">
        <f t="shared" si="58"/>
        <v>0</v>
      </c>
    </row>
    <row r="143" spans="1:13">
      <c r="A143" s="22" t="s">
        <v>27</v>
      </c>
      <c r="B143" s="20">
        <v>871</v>
      </c>
      <c r="C143" s="19" t="s">
        <v>13</v>
      </c>
      <c r="D143" s="19" t="s">
        <v>19</v>
      </c>
      <c r="E143" s="19" t="s">
        <v>28</v>
      </c>
      <c r="F143" s="20">
        <v>0</v>
      </c>
      <c r="G143" s="19" t="s">
        <v>15</v>
      </c>
      <c r="H143" s="19" t="s">
        <v>16</v>
      </c>
      <c r="I143" s="20"/>
      <c r="J143" s="64">
        <f>J144</f>
        <v>487150</v>
      </c>
      <c r="K143" s="64">
        <f t="shared" si="57"/>
        <v>487150</v>
      </c>
      <c r="L143" s="64">
        <f t="shared" si="57"/>
        <v>487150</v>
      </c>
      <c r="M143" s="180">
        <f t="shared" si="58"/>
        <v>0</v>
      </c>
    </row>
    <row r="144" spans="1:13">
      <c r="A144" s="22" t="s">
        <v>174</v>
      </c>
      <c r="B144" s="20">
        <v>871</v>
      </c>
      <c r="C144" s="19" t="s">
        <v>13</v>
      </c>
      <c r="D144" s="19" t="s">
        <v>19</v>
      </c>
      <c r="E144" s="19" t="s">
        <v>28</v>
      </c>
      <c r="F144" s="20">
        <v>9</v>
      </c>
      <c r="G144" s="19" t="s">
        <v>15</v>
      </c>
      <c r="H144" s="19" t="s">
        <v>16</v>
      </c>
      <c r="I144" s="20"/>
      <c r="J144" s="64">
        <f>J145</f>
        <v>487150</v>
      </c>
      <c r="K144" s="64">
        <f t="shared" si="57"/>
        <v>487150</v>
      </c>
      <c r="L144" s="64">
        <f t="shared" si="57"/>
        <v>487150</v>
      </c>
      <c r="M144" s="180">
        <f t="shared" si="58"/>
        <v>0</v>
      </c>
    </row>
    <row r="145" spans="1:13" ht="62.4">
      <c r="A145" s="21" t="s">
        <v>178</v>
      </c>
      <c r="B145" s="20">
        <v>871</v>
      </c>
      <c r="C145" s="19" t="s">
        <v>13</v>
      </c>
      <c r="D145" s="19" t="s">
        <v>19</v>
      </c>
      <c r="E145" s="19" t="s">
        <v>28</v>
      </c>
      <c r="F145" s="20">
        <v>9</v>
      </c>
      <c r="G145" s="19" t="s">
        <v>15</v>
      </c>
      <c r="H145" s="19" t="s">
        <v>56</v>
      </c>
      <c r="I145" s="20"/>
      <c r="J145" s="64">
        <f>SUM(J146:J147)</f>
        <v>487150</v>
      </c>
      <c r="K145" s="64">
        <f t="shared" ref="K145:L145" si="59">SUM(K146:K147)</f>
        <v>487150</v>
      </c>
      <c r="L145" s="64">
        <f t="shared" si="59"/>
        <v>487150</v>
      </c>
      <c r="M145" s="180">
        <f t="shared" si="58"/>
        <v>0</v>
      </c>
    </row>
    <row r="146" spans="1:13" ht="31.2">
      <c r="A146" s="21" t="s">
        <v>99</v>
      </c>
      <c r="B146" s="20">
        <v>871</v>
      </c>
      <c r="C146" s="19" t="s">
        <v>13</v>
      </c>
      <c r="D146" s="19" t="s">
        <v>19</v>
      </c>
      <c r="E146" s="19" t="s">
        <v>28</v>
      </c>
      <c r="F146" s="20">
        <v>9</v>
      </c>
      <c r="G146" s="19" t="s">
        <v>15</v>
      </c>
      <c r="H146" s="19" t="s">
        <v>56</v>
      </c>
      <c r="I146" s="20">
        <v>120</v>
      </c>
      <c r="J146" s="64">
        <v>487150</v>
      </c>
      <c r="K146" s="64">
        <f>377636.6+109513.4</f>
        <v>487150</v>
      </c>
      <c r="L146" s="64">
        <f>377636.6+109513.4</f>
        <v>487150</v>
      </c>
      <c r="M146" s="180">
        <f t="shared" si="58"/>
        <v>0</v>
      </c>
    </row>
    <row r="147" spans="1:13" ht="31.2" hidden="1">
      <c r="A147" s="22" t="s">
        <v>22</v>
      </c>
      <c r="B147" s="20">
        <v>871</v>
      </c>
      <c r="C147" s="19" t="s">
        <v>13</v>
      </c>
      <c r="D147" s="19" t="s">
        <v>19</v>
      </c>
      <c r="E147" s="19" t="s">
        <v>28</v>
      </c>
      <c r="F147" s="20">
        <v>9</v>
      </c>
      <c r="G147" s="19" t="s">
        <v>15</v>
      </c>
      <c r="H147" s="19" t="s">
        <v>56</v>
      </c>
      <c r="I147" s="20">
        <v>240</v>
      </c>
      <c r="J147" s="64"/>
      <c r="K147" s="64"/>
      <c r="L147" s="64"/>
      <c r="M147" s="180">
        <f t="shared" si="58"/>
        <v>0</v>
      </c>
    </row>
    <row r="148" spans="1:13" ht="31.2">
      <c r="A148" s="29" t="s">
        <v>57</v>
      </c>
      <c r="B148" s="20">
        <v>871</v>
      </c>
      <c r="C148" s="19" t="s">
        <v>19</v>
      </c>
      <c r="D148" s="19"/>
      <c r="E148" s="19"/>
      <c r="F148" s="20"/>
      <c r="G148" s="19"/>
      <c r="H148" s="19"/>
      <c r="I148" s="20"/>
      <c r="J148" s="64">
        <f>J149+J174+J188</f>
        <v>1861665.96</v>
      </c>
      <c r="K148" s="64">
        <f t="shared" ref="K148:L148" si="60">K149+K174+K188</f>
        <v>1861665.96</v>
      </c>
      <c r="L148" s="64">
        <f t="shared" si="60"/>
        <v>1038185.57</v>
      </c>
      <c r="M148" s="180">
        <f t="shared" si="58"/>
        <v>823480.39</v>
      </c>
    </row>
    <row r="149" spans="1:13">
      <c r="A149" s="21" t="s">
        <v>388</v>
      </c>
      <c r="B149" s="20">
        <v>871</v>
      </c>
      <c r="C149" s="19" t="s">
        <v>19</v>
      </c>
      <c r="D149" s="19" t="s">
        <v>50</v>
      </c>
      <c r="E149" s="19"/>
      <c r="F149" s="20"/>
      <c r="G149" s="19"/>
      <c r="H149" s="19"/>
      <c r="I149" s="20"/>
      <c r="J149" s="64">
        <f>J150+J170</f>
        <v>312061.11</v>
      </c>
      <c r="K149" s="64">
        <f t="shared" ref="K149:L149" si="61">K150+K170</f>
        <v>312061.11</v>
      </c>
      <c r="L149" s="64">
        <f t="shared" si="61"/>
        <v>312061.11</v>
      </c>
      <c r="M149" s="180">
        <f t="shared" si="58"/>
        <v>0</v>
      </c>
    </row>
    <row r="150" spans="1:13" ht="109.2">
      <c r="A150" s="21" t="s">
        <v>179</v>
      </c>
      <c r="B150" s="20">
        <v>871</v>
      </c>
      <c r="C150" s="19" t="s">
        <v>19</v>
      </c>
      <c r="D150" s="19" t="s">
        <v>50</v>
      </c>
      <c r="E150" s="19" t="s">
        <v>13</v>
      </c>
      <c r="F150" s="20">
        <v>0</v>
      </c>
      <c r="G150" s="19" t="s">
        <v>15</v>
      </c>
      <c r="H150" s="19" t="s">
        <v>16</v>
      </c>
      <c r="I150" s="20"/>
      <c r="J150" s="64">
        <f>J151+J162+J165</f>
        <v>277561.11</v>
      </c>
      <c r="K150" s="64">
        <f t="shared" ref="K150:L150" si="62">K151+K162+K165</f>
        <v>277561.11</v>
      </c>
      <c r="L150" s="64">
        <f t="shared" si="62"/>
        <v>277561.11</v>
      </c>
      <c r="M150" s="180">
        <f t="shared" si="58"/>
        <v>0</v>
      </c>
    </row>
    <row r="151" spans="1:13" ht="31.2" hidden="1">
      <c r="A151" s="22" t="s">
        <v>180</v>
      </c>
      <c r="B151" s="20">
        <v>871</v>
      </c>
      <c r="C151" s="19" t="s">
        <v>19</v>
      </c>
      <c r="D151" s="19" t="s">
        <v>50</v>
      </c>
      <c r="E151" s="19" t="s">
        <v>13</v>
      </c>
      <c r="F151" s="20">
        <v>1</v>
      </c>
      <c r="G151" s="19" t="s">
        <v>15</v>
      </c>
      <c r="H151" s="19" t="s">
        <v>16</v>
      </c>
      <c r="I151" s="20"/>
      <c r="J151" s="64">
        <f>J152+J154+J158+J160+J156</f>
        <v>0</v>
      </c>
      <c r="K151" s="64">
        <f t="shared" ref="K151:L151" si="63">K152+K154+K158+K160+K156</f>
        <v>0</v>
      </c>
      <c r="L151" s="64">
        <f t="shared" si="63"/>
        <v>0</v>
      </c>
      <c r="M151" s="180">
        <f t="shared" si="58"/>
        <v>0</v>
      </c>
    </row>
    <row r="152" spans="1:13" ht="31.2" hidden="1">
      <c r="A152" s="22" t="s">
        <v>181</v>
      </c>
      <c r="B152" s="20">
        <v>871</v>
      </c>
      <c r="C152" s="19" t="s">
        <v>19</v>
      </c>
      <c r="D152" s="19" t="s">
        <v>50</v>
      </c>
      <c r="E152" s="19" t="s">
        <v>13</v>
      </c>
      <c r="F152" s="20">
        <v>1</v>
      </c>
      <c r="G152" s="19" t="s">
        <v>15</v>
      </c>
      <c r="H152" s="19" t="s">
        <v>182</v>
      </c>
      <c r="I152" s="20"/>
      <c r="J152" s="64">
        <f>J153</f>
        <v>0</v>
      </c>
      <c r="K152" s="64">
        <f t="shared" ref="K152:L152" si="64">K153</f>
        <v>0</v>
      </c>
      <c r="L152" s="64">
        <f t="shared" si="64"/>
        <v>0</v>
      </c>
      <c r="M152" s="180">
        <f t="shared" si="58"/>
        <v>0</v>
      </c>
    </row>
    <row r="153" spans="1:13" ht="31.2" hidden="1">
      <c r="A153" s="22" t="s">
        <v>22</v>
      </c>
      <c r="B153" s="20">
        <v>871</v>
      </c>
      <c r="C153" s="19" t="s">
        <v>19</v>
      </c>
      <c r="D153" s="19" t="s">
        <v>50</v>
      </c>
      <c r="E153" s="19" t="s">
        <v>13</v>
      </c>
      <c r="F153" s="20">
        <v>1</v>
      </c>
      <c r="G153" s="19" t="s">
        <v>15</v>
      </c>
      <c r="H153" s="19" t="s">
        <v>182</v>
      </c>
      <c r="I153" s="20">
        <v>240</v>
      </c>
      <c r="J153" s="64"/>
      <c r="K153" s="64"/>
      <c r="L153" s="64"/>
      <c r="M153" s="180">
        <f t="shared" si="58"/>
        <v>0</v>
      </c>
    </row>
    <row r="154" spans="1:13" ht="31.2" hidden="1">
      <c r="A154" s="22" t="s">
        <v>183</v>
      </c>
      <c r="B154" s="20">
        <v>871</v>
      </c>
      <c r="C154" s="19" t="s">
        <v>19</v>
      </c>
      <c r="D154" s="19" t="s">
        <v>50</v>
      </c>
      <c r="E154" s="19" t="s">
        <v>13</v>
      </c>
      <c r="F154" s="20">
        <v>1</v>
      </c>
      <c r="G154" s="19" t="s">
        <v>15</v>
      </c>
      <c r="H154" s="19" t="s">
        <v>184</v>
      </c>
      <c r="I154" s="20"/>
      <c r="J154" s="64">
        <f>J155</f>
        <v>0</v>
      </c>
      <c r="K154" s="64">
        <f t="shared" ref="K154:L154" si="65">K155</f>
        <v>0</v>
      </c>
      <c r="L154" s="64">
        <f t="shared" si="65"/>
        <v>0</v>
      </c>
      <c r="M154" s="180">
        <f t="shared" si="58"/>
        <v>0</v>
      </c>
    </row>
    <row r="155" spans="1:13" ht="31.2" hidden="1">
      <c r="A155" s="22" t="s">
        <v>22</v>
      </c>
      <c r="B155" s="20">
        <v>871</v>
      </c>
      <c r="C155" s="19" t="s">
        <v>19</v>
      </c>
      <c r="D155" s="19" t="s">
        <v>50</v>
      </c>
      <c r="E155" s="19" t="s">
        <v>13</v>
      </c>
      <c r="F155" s="20">
        <v>1</v>
      </c>
      <c r="G155" s="19" t="s">
        <v>15</v>
      </c>
      <c r="H155" s="19" t="s">
        <v>184</v>
      </c>
      <c r="I155" s="20">
        <v>240</v>
      </c>
      <c r="J155" s="64"/>
      <c r="K155" s="64"/>
      <c r="L155" s="64"/>
      <c r="M155" s="180">
        <f t="shared" si="58"/>
        <v>0</v>
      </c>
    </row>
    <row r="156" spans="1:13" ht="31.2" hidden="1">
      <c r="A156" s="22" t="s">
        <v>185</v>
      </c>
      <c r="B156" s="20">
        <v>871</v>
      </c>
      <c r="C156" s="19" t="s">
        <v>19</v>
      </c>
      <c r="D156" s="19" t="s">
        <v>50</v>
      </c>
      <c r="E156" s="19" t="s">
        <v>13</v>
      </c>
      <c r="F156" s="20">
        <v>1</v>
      </c>
      <c r="G156" s="19" t="s">
        <v>15</v>
      </c>
      <c r="H156" s="19" t="s">
        <v>186</v>
      </c>
      <c r="I156" s="20"/>
      <c r="J156" s="64">
        <f>J157</f>
        <v>0</v>
      </c>
      <c r="K156" s="64">
        <f t="shared" ref="K156:L156" si="66">K157</f>
        <v>0</v>
      </c>
      <c r="L156" s="64">
        <f t="shared" si="66"/>
        <v>0</v>
      </c>
      <c r="M156" s="180">
        <f t="shared" si="58"/>
        <v>0</v>
      </c>
    </row>
    <row r="157" spans="1:13" ht="31.2" hidden="1">
      <c r="A157" s="22" t="s">
        <v>22</v>
      </c>
      <c r="B157" s="20">
        <v>871</v>
      </c>
      <c r="C157" s="19" t="s">
        <v>19</v>
      </c>
      <c r="D157" s="19" t="s">
        <v>50</v>
      </c>
      <c r="E157" s="19" t="s">
        <v>13</v>
      </c>
      <c r="F157" s="20">
        <v>1</v>
      </c>
      <c r="G157" s="19" t="s">
        <v>15</v>
      </c>
      <c r="H157" s="19" t="s">
        <v>186</v>
      </c>
      <c r="I157" s="20">
        <v>240</v>
      </c>
      <c r="J157" s="64"/>
      <c r="K157" s="64"/>
      <c r="L157" s="64"/>
      <c r="M157" s="180">
        <f t="shared" si="58"/>
        <v>0</v>
      </c>
    </row>
    <row r="158" spans="1:13" ht="46.8" hidden="1">
      <c r="A158" s="22" t="s">
        <v>187</v>
      </c>
      <c r="B158" s="20">
        <v>871</v>
      </c>
      <c r="C158" s="19" t="s">
        <v>19</v>
      </c>
      <c r="D158" s="19" t="s">
        <v>50</v>
      </c>
      <c r="E158" s="19" t="s">
        <v>13</v>
      </c>
      <c r="F158" s="20">
        <v>1</v>
      </c>
      <c r="G158" s="19" t="s">
        <v>15</v>
      </c>
      <c r="H158" s="19" t="s">
        <v>188</v>
      </c>
      <c r="I158" s="20"/>
      <c r="J158" s="64">
        <f>J159</f>
        <v>0</v>
      </c>
      <c r="K158" s="64">
        <f t="shared" ref="K158:L158" si="67">K159</f>
        <v>0</v>
      </c>
      <c r="L158" s="64">
        <f t="shared" si="67"/>
        <v>0</v>
      </c>
      <c r="M158" s="180">
        <f t="shared" si="58"/>
        <v>0</v>
      </c>
    </row>
    <row r="159" spans="1:13" ht="31.2" hidden="1">
      <c r="A159" s="22" t="s">
        <v>22</v>
      </c>
      <c r="B159" s="20">
        <v>871</v>
      </c>
      <c r="C159" s="19" t="s">
        <v>19</v>
      </c>
      <c r="D159" s="19" t="s">
        <v>50</v>
      </c>
      <c r="E159" s="19" t="s">
        <v>13</v>
      </c>
      <c r="F159" s="20">
        <v>1</v>
      </c>
      <c r="G159" s="19" t="s">
        <v>15</v>
      </c>
      <c r="H159" s="19" t="s">
        <v>188</v>
      </c>
      <c r="I159" s="20">
        <v>240</v>
      </c>
      <c r="J159" s="64">
        <f>10000-10000</f>
        <v>0</v>
      </c>
      <c r="K159" s="64">
        <f t="shared" ref="K159:L159" si="68">10000-10000</f>
        <v>0</v>
      </c>
      <c r="L159" s="64">
        <f t="shared" si="68"/>
        <v>0</v>
      </c>
      <c r="M159" s="180">
        <f t="shared" si="58"/>
        <v>0</v>
      </c>
    </row>
    <row r="160" spans="1:13" hidden="1">
      <c r="A160" s="22" t="s">
        <v>189</v>
      </c>
      <c r="B160" s="20">
        <v>871</v>
      </c>
      <c r="C160" s="19" t="s">
        <v>19</v>
      </c>
      <c r="D160" s="19" t="s">
        <v>50</v>
      </c>
      <c r="E160" s="19" t="s">
        <v>13</v>
      </c>
      <c r="F160" s="20">
        <v>1</v>
      </c>
      <c r="G160" s="19" t="s">
        <v>15</v>
      </c>
      <c r="H160" s="19" t="s">
        <v>190</v>
      </c>
      <c r="I160" s="20"/>
      <c r="J160" s="64">
        <f>J161</f>
        <v>0</v>
      </c>
      <c r="K160" s="64">
        <f t="shared" ref="K160:L160" si="69">K161</f>
        <v>0</v>
      </c>
      <c r="L160" s="64">
        <f t="shared" si="69"/>
        <v>0</v>
      </c>
      <c r="M160" s="180">
        <f t="shared" si="58"/>
        <v>0</v>
      </c>
    </row>
    <row r="161" spans="1:13" ht="31.2" hidden="1">
      <c r="A161" s="22" t="s">
        <v>22</v>
      </c>
      <c r="B161" s="20">
        <v>871</v>
      </c>
      <c r="C161" s="19" t="s">
        <v>19</v>
      </c>
      <c r="D161" s="19" t="s">
        <v>50</v>
      </c>
      <c r="E161" s="19" t="s">
        <v>13</v>
      </c>
      <c r="F161" s="20">
        <v>1</v>
      </c>
      <c r="G161" s="19" t="s">
        <v>15</v>
      </c>
      <c r="H161" s="19" t="s">
        <v>190</v>
      </c>
      <c r="I161" s="20">
        <v>240</v>
      </c>
      <c r="J161" s="64">
        <f>100000-100000</f>
        <v>0</v>
      </c>
      <c r="K161" s="64">
        <f t="shared" ref="K161:L161" si="70">100000-100000</f>
        <v>0</v>
      </c>
      <c r="L161" s="64">
        <f t="shared" si="70"/>
        <v>0</v>
      </c>
      <c r="M161" s="180">
        <f t="shared" si="58"/>
        <v>0</v>
      </c>
    </row>
    <row r="162" spans="1:13" ht="62.4" hidden="1">
      <c r="A162" s="31" t="s">
        <v>191</v>
      </c>
      <c r="B162" s="20">
        <v>871</v>
      </c>
      <c r="C162" s="19" t="s">
        <v>19</v>
      </c>
      <c r="D162" s="19" t="s">
        <v>50</v>
      </c>
      <c r="E162" s="19" t="s">
        <v>13</v>
      </c>
      <c r="F162" s="20">
        <v>2</v>
      </c>
      <c r="G162" s="19" t="s">
        <v>15</v>
      </c>
      <c r="H162" s="19" t="s">
        <v>16</v>
      </c>
      <c r="I162" s="20"/>
      <c r="J162" s="64">
        <f>J163</f>
        <v>0</v>
      </c>
      <c r="K162" s="64">
        <f t="shared" ref="K162:L163" si="71">K163</f>
        <v>0</v>
      </c>
      <c r="L162" s="64">
        <f t="shared" si="71"/>
        <v>0</v>
      </c>
      <c r="M162" s="180">
        <f t="shared" si="58"/>
        <v>0</v>
      </c>
    </row>
    <row r="163" spans="1:13" ht="31.2" hidden="1">
      <c r="A163" s="31" t="s">
        <v>192</v>
      </c>
      <c r="B163" s="20">
        <v>871</v>
      </c>
      <c r="C163" s="19" t="s">
        <v>19</v>
      </c>
      <c r="D163" s="19" t="s">
        <v>50</v>
      </c>
      <c r="E163" s="19" t="s">
        <v>13</v>
      </c>
      <c r="F163" s="20">
        <v>2</v>
      </c>
      <c r="G163" s="19" t="s">
        <v>15</v>
      </c>
      <c r="H163" s="19" t="s">
        <v>193</v>
      </c>
      <c r="I163" s="20"/>
      <c r="J163" s="64">
        <f>J164</f>
        <v>0</v>
      </c>
      <c r="K163" s="64">
        <f t="shared" si="71"/>
        <v>0</v>
      </c>
      <c r="L163" s="64">
        <f t="shared" si="71"/>
        <v>0</v>
      </c>
      <c r="M163" s="180">
        <f t="shared" si="58"/>
        <v>0</v>
      </c>
    </row>
    <row r="164" spans="1:13" ht="31.2" hidden="1">
      <c r="A164" s="22" t="s">
        <v>22</v>
      </c>
      <c r="B164" s="20">
        <v>871</v>
      </c>
      <c r="C164" s="19" t="s">
        <v>19</v>
      </c>
      <c r="D164" s="19" t="s">
        <v>50</v>
      </c>
      <c r="E164" s="19" t="s">
        <v>13</v>
      </c>
      <c r="F164" s="20">
        <v>2</v>
      </c>
      <c r="G164" s="19" t="s">
        <v>15</v>
      </c>
      <c r="H164" s="19" t="s">
        <v>193</v>
      </c>
      <c r="I164" s="20">
        <v>240</v>
      </c>
      <c r="J164" s="64">
        <f>10000-10000</f>
        <v>0</v>
      </c>
      <c r="K164" s="64">
        <f t="shared" ref="K164:L164" si="72">10000-10000</f>
        <v>0</v>
      </c>
      <c r="L164" s="64">
        <f t="shared" si="72"/>
        <v>0</v>
      </c>
      <c r="M164" s="180">
        <f t="shared" si="58"/>
        <v>0</v>
      </c>
    </row>
    <row r="165" spans="1:13" ht="78">
      <c r="A165" s="22" t="s">
        <v>194</v>
      </c>
      <c r="B165" s="20">
        <v>871</v>
      </c>
      <c r="C165" s="19" t="s">
        <v>19</v>
      </c>
      <c r="D165" s="19" t="s">
        <v>50</v>
      </c>
      <c r="E165" s="19" t="s">
        <v>13</v>
      </c>
      <c r="F165" s="20">
        <v>3</v>
      </c>
      <c r="G165" s="19" t="s">
        <v>15</v>
      </c>
      <c r="H165" s="19" t="s">
        <v>16</v>
      </c>
      <c r="I165" s="20"/>
      <c r="J165" s="64">
        <f>J166+J168</f>
        <v>277561.11</v>
      </c>
      <c r="K165" s="64">
        <f t="shared" ref="K165:L165" si="73">K166+K168</f>
        <v>277561.11</v>
      </c>
      <c r="L165" s="64">
        <f t="shared" si="73"/>
        <v>277561.11</v>
      </c>
      <c r="M165" s="180">
        <f t="shared" si="58"/>
        <v>0</v>
      </c>
    </row>
    <row r="166" spans="1:13" ht="46.8">
      <c r="A166" s="22" t="s">
        <v>195</v>
      </c>
      <c r="B166" s="20">
        <v>871</v>
      </c>
      <c r="C166" s="19" t="s">
        <v>19</v>
      </c>
      <c r="D166" s="19" t="s">
        <v>50</v>
      </c>
      <c r="E166" s="19" t="s">
        <v>13</v>
      </c>
      <c r="F166" s="20">
        <v>3</v>
      </c>
      <c r="G166" s="19" t="s">
        <v>15</v>
      </c>
      <c r="H166" s="19" t="s">
        <v>196</v>
      </c>
      <c r="I166" s="20"/>
      <c r="J166" s="64">
        <f>J167</f>
        <v>277561.11</v>
      </c>
      <c r="K166" s="64">
        <f t="shared" ref="K166:L166" si="74">K167</f>
        <v>277561.11</v>
      </c>
      <c r="L166" s="64">
        <f t="shared" si="74"/>
        <v>277561.11</v>
      </c>
      <c r="M166" s="180">
        <f t="shared" si="58"/>
        <v>0</v>
      </c>
    </row>
    <row r="167" spans="1:13" ht="31.2">
      <c r="A167" s="22" t="s">
        <v>22</v>
      </c>
      <c r="B167" s="20">
        <v>871</v>
      </c>
      <c r="C167" s="19" t="s">
        <v>19</v>
      </c>
      <c r="D167" s="19" t="s">
        <v>50</v>
      </c>
      <c r="E167" s="19" t="s">
        <v>13</v>
      </c>
      <c r="F167" s="20">
        <v>3</v>
      </c>
      <c r="G167" s="19" t="s">
        <v>15</v>
      </c>
      <c r="H167" s="19" t="s">
        <v>196</v>
      </c>
      <c r="I167" s="20">
        <v>240</v>
      </c>
      <c r="J167" s="64">
        <f>386878.6-30000-79317.49</f>
        <v>277561.11</v>
      </c>
      <c r="K167" s="64">
        <v>277561.11</v>
      </c>
      <c r="L167" s="64">
        <f>277561.11</f>
        <v>277561.11</v>
      </c>
      <c r="M167" s="180">
        <f t="shared" si="58"/>
        <v>0</v>
      </c>
    </row>
    <row r="168" spans="1:13" ht="31.2" hidden="1">
      <c r="A168" s="22" t="s">
        <v>197</v>
      </c>
      <c r="B168" s="20">
        <v>871</v>
      </c>
      <c r="C168" s="19" t="s">
        <v>19</v>
      </c>
      <c r="D168" s="19" t="s">
        <v>50</v>
      </c>
      <c r="E168" s="19" t="s">
        <v>13</v>
      </c>
      <c r="F168" s="20">
        <v>3</v>
      </c>
      <c r="G168" s="19" t="s">
        <v>15</v>
      </c>
      <c r="H168" s="19" t="s">
        <v>198</v>
      </c>
      <c r="I168" s="20"/>
      <c r="J168" s="64">
        <f>J169</f>
        <v>0</v>
      </c>
      <c r="K168" s="64">
        <f t="shared" ref="K168:L168" si="75">K169</f>
        <v>0</v>
      </c>
      <c r="L168" s="64">
        <f t="shared" si="75"/>
        <v>0</v>
      </c>
      <c r="M168" s="180">
        <f t="shared" si="58"/>
        <v>0</v>
      </c>
    </row>
    <row r="169" spans="1:13" ht="31.2" hidden="1">
      <c r="A169" s="22" t="s">
        <v>22</v>
      </c>
      <c r="B169" s="20">
        <v>871</v>
      </c>
      <c r="C169" s="19" t="s">
        <v>19</v>
      </c>
      <c r="D169" s="19" t="s">
        <v>50</v>
      </c>
      <c r="E169" s="19" t="s">
        <v>13</v>
      </c>
      <c r="F169" s="20">
        <v>3</v>
      </c>
      <c r="G169" s="19" t="s">
        <v>15</v>
      </c>
      <c r="H169" s="19" t="s">
        <v>198</v>
      </c>
      <c r="I169" s="20">
        <v>240</v>
      </c>
      <c r="J169" s="64"/>
      <c r="K169" s="64"/>
      <c r="L169" s="64"/>
      <c r="M169" s="180">
        <f t="shared" si="58"/>
        <v>0</v>
      </c>
    </row>
    <row r="170" spans="1:13" ht="31.2">
      <c r="A170" s="22" t="s">
        <v>199</v>
      </c>
      <c r="B170" s="20">
        <v>871</v>
      </c>
      <c r="C170" s="19" t="s">
        <v>19</v>
      </c>
      <c r="D170" s="19" t="s">
        <v>50</v>
      </c>
      <c r="E170" s="19">
        <v>97</v>
      </c>
      <c r="F170" s="20">
        <v>0</v>
      </c>
      <c r="G170" s="19" t="s">
        <v>15</v>
      </c>
      <c r="H170" s="19" t="s">
        <v>16</v>
      </c>
      <c r="I170" s="20"/>
      <c r="J170" s="64">
        <f>J171</f>
        <v>34500</v>
      </c>
      <c r="K170" s="64">
        <f t="shared" ref="K170:L172" si="76">K171</f>
        <v>34500</v>
      </c>
      <c r="L170" s="64">
        <f t="shared" si="76"/>
        <v>34500</v>
      </c>
      <c r="M170" s="180">
        <f t="shared" si="58"/>
        <v>0</v>
      </c>
    </row>
    <row r="171" spans="1:13" ht="78">
      <c r="A171" s="22" t="s">
        <v>111</v>
      </c>
      <c r="B171" s="20">
        <v>871</v>
      </c>
      <c r="C171" s="19" t="s">
        <v>19</v>
      </c>
      <c r="D171" s="19" t="s">
        <v>50</v>
      </c>
      <c r="E171" s="19">
        <v>97</v>
      </c>
      <c r="F171" s="20">
        <v>2</v>
      </c>
      <c r="G171" s="19" t="s">
        <v>15</v>
      </c>
      <c r="H171" s="19" t="s">
        <v>16</v>
      </c>
      <c r="I171" s="20"/>
      <c r="J171" s="64">
        <f>J172</f>
        <v>34500</v>
      </c>
      <c r="K171" s="64">
        <f t="shared" si="76"/>
        <v>34500</v>
      </c>
      <c r="L171" s="64">
        <f t="shared" si="76"/>
        <v>34500</v>
      </c>
      <c r="M171" s="180">
        <f t="shared" si="58"/>
        <v>0</v>
      </c>
    </row>
    <row r="172" spans="1:13" ht="62.4">
      <c r="A172" s="22" t="s">
        <v>200</v>
      </c>
      <c r="B172" s="20">
        <v>871</v>
      </c>
      <c r="C172" s="19" t="s">
        <v>19</v>
      </c>
      <c r="D172" s="19" t="s">
        <v>50</v>
      </c>
      <c r="E172" s="19" t="s">
        <v>113</v>
      </c>
      <c r="F172" s="20">
        <v>2</v>
      </c>
      <c r="G172" s="19" t="s">
        <v>15</v>
      </c>
      <c r="H172" s="19" t="s">
        <v>201</v>
      </c>
      <c r="I172" s="20"/>
      <c r="J172" s="64">
        <f>J173</f>
        <v>34500</v>
      </c>
      <c r="K172" s="64">
        <f t="shared" si="76"/>
        <v>34500</v>
      </c>
      <c r="L172" s="64">
        <f t="shared" si="76"/>
        <v>34500</v>
      </c>
      <c r="M172" s="180">
        <f t="shared" si="58"/>
        <v>0</v>
      </c>
    </row>
    <row r="173" spans="1:13">
      <c r="A173" s="27" t="s">
        <v>116</v>
      </c>
      <c r="B173" s="20">
        <v>871</v>
      </c>
      <c r="C173" s="19" t="s">
        <v>19</v>
      </c>
      <c r="D173" s="19" t="s">
        <v>50</v>
      </c>
      <c r="E173" s="19" t="s">
        <v>113</v>
      </c>
      <c r="F173" s="20">
        <v>2</v>
      </c>
      <c r="G173" s="19" t="s">
        <v>15</v>
      </c>
      <c r="H173" s="19" t="s">
        <v>201</v>
      </c>
      <c r="I173" s="20">
        <v>540</v>
      </c>
      <c r="J173" s="64">
        <v>34500</v>
      </c>
      <c r="K173" s="64">
        <v>34500</v>
      </c>
      <c r="L173" s="64">
        <v>34500</v>
      </c>
      <c r="M173" s="180">
        <f t="shared" si="58"/>
        <v>0</v>
      </c>
    </row>
    <row r="174" spans="1:13" ht="46.8">
      <c r="A174" s="22" t="s">
        <v>389</v>
      </c>
      <c r="B174" s="20">
        <v>871</v>
      </c>
      <c r="C174" s="19" t="s">
        <v>19</v>
      </c>
      <c r="D174" s="19" t="s">
        <v>38</v>
      </c>
      <c r="E174" s="19"/>
      <c r="F174" s="20"/>
      <c r="G174" s="19"/>
      <c r="H174" s="19"/>
      <c r="I174" s="20"/>
      <c r="J174" s="64">
        <f>J175+J184</f>
        <v>1549604.85</v>
      </c>
      <c r="K174" s="64">
        <f t="shared" ref="K174:L174" si="77">K175+K184</f>
        <v>1549604.8499999999</v>
      </c>
      <c r="L174" s="64">
        <f t="shared" si="77"/>
        <v>726124.46</v>
      </c>
      <c r="M174" s="180">
        <f t="shared" si="58"/>
        <v>823480.39000000013</v>
      </c>
    </row>
    <row r="175" spans="1:13" ht="109.2">
      <c r="A175" s="22" t="s">
        <v>179</v>
      </c>
      <c r="B175" s="20">
        <v>871</v>
      </c>
      <c r="C175" s="19" t="s">
        <v>19</v>
      </c>
      <c r="D175" s="19" t="s">
        <v>38</v>
      </c>
      <c r="E175" s="19" t="s">
        <v>13</v>
      </c>
      <c r="F175" s="20">
        <v>0</v>
      </c>
      <c r="G175" s="19" t="s">
        <v>15</v>
      </c>
      <c r="H175" s="19" t="s">
        <v>16</v>
      </c>
      <c r="I175" s="20"/>
      <c r="J175" s="64">
        <f>J176+J181</f>
        <v>1201652.3500000001</v>
      </c>
      <c r="K175" s="64">
        <f t="shared" ref="K175:L175" si="78">K176+K181</f>
        <v>1201652.3499999999</v>
      </c>
      <c r="L175" s="64">
        <f t="shared" si="78"/>
        <v>378171.96</v>
      </c>
      <c r="M175" s="180">
        <f t="shared" si="58"/>
        <v>823480.39000000013</v>
      </c>
    </row>
    <row r="176" spans="1:13">
      <c r="A176" s="22" t="s">
        <v>202</v>
      </c>
      <c r="B176" s="20">
        <v>871</v>
      </c>
      <c r="C176" s="19" t="s">
        <v>19</v>
      </c>
      <c r="D176" s="19" t="s">
        <v>38</v>
      </c>
      <c r="E176" s="19" t="s">
        <v>13</v>
      </c>
      <c r="F176" s="20">
        <v>4</v>
      </c>
      <c r="G176" s="19" t="s">
        <v>15</v>
      </c>
      <c r="H176" s="19" t="s">
        <v>16</v>
      </c>
      <c r="I176" s="20"/>
      <c r="J176" s="64">
        <f>J177+J179</f>
        <v>85171.96</v>
      </c>
      <c r="K176" s="64">
        <f t="shared" ref="K176:L176" si="79">K177+K179</f>
        <v>85171.96</v>
      </c>
      <c r="L176" s="64">
        <f t="shared" si="79"/>
        <v>85171.96</v>
      </c>
      <c r="M176" s="180">
        <f t="shared" si="58"/>
        <v>0</v>
      </c>
    </row>
    <row r="177" spans="1:13">
      <c r="A177" s="22" t="s">
        <v>202</v>
      </c>
      <c r="B177" s="20">
        <v>871</v>
      </c>
      <c r="C177" s="19" t="s">
        <v>19</v>
      </c>
      <c r="D177" s="19" t="s">
        <v>38</v>
      </c>
      <c r="E177" s="19" t="s">
        <v>13</v>
      </c>
      <c r="F177" s="20">
        <v>4</v>
      </c>
      <c r="G177" s="19" t="s">
        <v>15</v>
      </c>
      <c r="H177" s="19" t="s">
        <v>203</v>
      </c>
      <c r="I177" s="20"/>
      <c r="J177" s="64">
        <f>J178</f>
        <v>85171.96</v>
      </c>
      <c r="K177" s="64">
        <f t="shared" ref="K177:L177" si="80">K178</f>
        <v>85171.96</v>
      </c>
      <c r="L177" s="64">
        <f t="shared" si="80"/>
        <v>85171.96</v>
      </c>
      <c r="M177" s="180">
        <f t="shared" si="58"/>
        <v>0</v>
      </c>
    </row>
    <row r="178" spans="1:13" ht="31.2">
      <c r="A178" s="22" t="s">
        <v>22</v>
      </c>
      <c r="B178" s="20">
        <v>871</v>
      </c>
      <c r="C178" s="19" t="s">
        <v>19</v>
      </c>
      <c r="D178" s="19" t="s">
        <v>38</v>
      </c>
      <c r="E178" s="19" t="s">
        <v>13</v>
      </c>
      <c r="F178" s="20">
        <v>4</v>
      </c>
      <c r="G178" s="19" t="s">
        <v>15</v>
      </c>
      <c r="H178" s="19" t="s">
        <v>203</v>
      </c>
      <c r="I178" s="20">
        <v>240</v>
      </c>
      <c r="J178" s="64">
        <f>30000+85171.96-30000</f>
        <v>85171.96</v>
      </c>
      <c r="K178" s="64">
        <v>85171.96</v>
      </c>
      <c r="L178" s="64">
        <f>85171.96</f>
        <v>85171.96</v>
      </c>
      <c r="M178" s="180">
        <f t="shared" si="58"/>
        <v>0</v>
      </c>
    </row>
    <row r="179" spans="1:13" ht="31.2" hidden="1">
      <c r="A179" s="22" t="s">
        <v>204</v>
      </c>
      <c r="B179" s="20">
        <v>871</v>
      </c>
      <c r="C179" s="19" t="s">
        <v>19</v>
      </c>
      <c r="D179" s="19" t="s">
        <v>38</v>
      </c>
      <c r="E179" s="19" t="s">
        <v>13</v>
      </c>
      <c r="F179" s="20">
        <v>4</v>
      </c>
      <c r="G179" s="19" t="s">
        <v>15</v>
      </c>
      <c r="H179" s="19" t="s">
        <v>205</v>
      </c>
      <c r="I179" s="20"/>
      <c r="J179" s="64">
        <f>J180</f>
        <v>0</v>
      </c>
      <c r="K179" s="64">
        <f t="shared" ref="K179:L179" si="81">K180</f>
        <v>0</v>
      </c>
      <c r="L179" s="64">
        <f t="shared" si="81"/>
        <v>0</v>
      </c>
      <c r="M179" s="180">
        <f t="shared" si="58"/>
        <v>0</v>
      </c>
    </row>
    <row r="180" spans="1:13" ht="31.2" hidden="1">
      <c r="A180" s="22" t="s">
        <v>22</v>
      </c>
      <c r="B180" s="20">
        <v>871</v>
      </c>
      <c r="C180" s="19" t="s">
        <v>19</v>
      </c>
      <c r="D180" s="19" t="s">
        <v>38</v>
      </c>
      <c r="E180" s="19" t="s">
        <v>13</v>
      </c>
      <c r="F180" s="20">
        <v>4</v>
      </c>
      <c r="G180" s="19" t="s">
        <v>15</v>
      </c>
      <c r="H180" s="19" t="s">
        <v>205</v>
      </c>
      <c r="I180" s="20">
        <v>240</v>
      </c>
      <c r="J180" s="64"/>
      <c r="K180" s="64"/>
      <c r="L180" s="64"/>
      <c r="M180" s="180">
        <f t="shared" si="58"/>
        <v>0</v>
      </c>
    </row>
    <row r="181" spans="1:13" ht="31.2">
      <c r="A181" s="22" t="s">
        <v>399</v>
      </c>
      <c r="B181" s="71">
        <v>871</v>
      </c>
      <c r="C181" s="70" t="s">
        <v>19</v>
      </c>
      <c r="D181" s="70" t="s">
        <v>38</v>
      </c>
      <c r="E181" s="70" t="s">
        <v>13</v>
      </c>
      <c r="F181" s="71">
        <v>5</v>
      </c>
      <c r="G181" s="70" t="s">
        <v>15</v>
      </c>
      <c r="H181" s="70" t="s">
        <v>16</v>
      </c>
      <c r="I181" s="71"/>
      <c r="J181" s="64">
        <f>J182</f>
        <v>1116480.3900000001</v>
      </c>
      <c r="K181" s="64">
        <f t="shared" ref="K181:L182" si="82">K182</f>
        <v>1116480.3899999999</v>
      </c>
      <c r="L181" s="64">
        <f t="shared" si="82"/>
        <v>293000</v>
      </c>
      <c r="M181" s="180">
        <f t="shared" si="58"/>
        <v>823480.39000000013</v>
      </c>
    </row>
    <row r="182" spans="1:13">
      <c r="A182" s="22" t="s">
        <v>395</v>
      </c>
      <c r="B182" s="71">
        <v>871</v>
      </c>
      <c r="C182" s="70" t="s">
        <v>19</v>
      </c>
      <c r="D182" s="70" t="s">
        <v>38</v>
      </c>
      <c r="E182" s="70" t="s">
        <v>13</v>
      </c>
      <c r="F182" s="71">
        <v>5</v>
      </c>
      <c r="G182" s="70" t="s">
        <v>15</v>
      </c>
      <c r="H182" s="70" t="s">
        <v>394</v>
      </c>
      <c r="I182" s="71"/>
      <c r="J182" s="64">
        <f>J183</f>
        <v>1116480.3900000001</v>
      </c>
      <c r="K182" s="64">
        <f t="shared" si="82"/>
        <v>1116480.3899999999</v>
      </c>
      <c r="L182" s="64">
        <f t="shared" si="82"/>
        <v>293000</v>
      </c>
      <c r="M182" s="180">
        <f t="shared" si="58"/>
        <v>823480.39000000013</v>
      </c>
    </row>
    <row r="183" spans="1:13" ht="31.2">
      <c r="A183" s="22" t="s">
        <v>22</v>
      </c>
      <c r="B183" s="71">
        <v>871</v>
      </c>
      <c r="C183" s="70" t="s">
        <v>19</v>
      </c>
      <c r="D183" s="70" t="s">
        <v>38</v>
      </c>
      <c r="E183" s="70" t="s">
        <v>13</v>
      </c>
      <c r="F183" s="71">
        <v>5</v>
      </c>
      <c r="G183" s="70" t="s">
        <v>15</v>
      </c>
      <c r="H183" s="70" t="s">
        <v>394</v>
      </c>
      <c r="I183" s="71">
        <v>240</v>
      </c>
      <c r="J183" s="64">
        <f>800000+149100+167380.39</f>
        <v>1116480.3900000001</v>
      </c>
      <c r="K183" s="64">
        <v>1116480.3899999999</v>
      </c>
      <c r="L183" s="64">
        <f>293000</f>
        <v>293000</v>
      </c>
      <c r="M183" s="180">
        <f t="shared" si="58"/>
        <v>823480.39000000013</v>
      </c>
    </row>
    <row r="184" spans="1:13" ht="31.2">
      <c r="A184" s="22" t="s">
        <v>199</v>
      </c>
      <c r="B184" s="74">
        <v>871</v>
      </c>
      <c r="C184" s="73" t="s">
        <v>19</v>
      </c>
      <c r="D184" s="73" t="s">
        <v>38</v>
      </c>
      <c r="E184" s="73">
        <v>97</v>
      </c>
      <c r="F184" s="74">
        <v>0</v>
      </c>
      <c r="G184" s="73" t="s">
        <v>15</v>
      </c>
      <c r="H184" s="73" t="s">
        <v>16</v>
      </c>
      <c r="I184" s="74"/>
      <c r="J184" s="64">
        <f>J185</f>
        <v>347952.5</v>
      </c>
      <c r="K184" s="64">
        <f t="shared" ref="K184:L186" si="83">K185</f>
        <v>347952.5</v>
      </c>
      <c r="L184" s="64">
        <f t="shared" si="83"/>
        <v>347952.5</v>
      </c>
      <c r="M184" s="180">
        <f t="shared" si="58"/>
        <v>0</v>
      </c>
    </row>
    <row r="185" spans="1:13" ht="78">
      <c r="A185" s="22" t="s">
        <v>111</v>
      </c>
      <c r="B185" s="74">
        <v>871</v>
      </c>
      <c r="C185" s="73" t="s">
        <v>19</v>
      </c>
      <c r="D185" s="73" t="s">
        <v>38</v>
      </c>
      <c r="E185" s="73">
        <v>97</v>
      </c>
      <c r="F185" s="74">
        <v>2</v>
      </c>
      <c r="G185" s="73" t="s">
        <v>15</v>
      </c>
      <c r="H185" s="73" t="s">
        <v>16</v>
      </c>
      <c r="I185" s="74"/>
      <c r="J185" s="64">
        <f>J186</f>
        <v>347952.5</v>
      </c>
      <c r="K185" s="64">
        <f t="shared" si="83"/>
        <v>347952.5</v>
      </c>
      <c r="L185" s="64">
        <f t="shared" si="83"/>
        <v>347952.5</v>
      </c>
      <c r="M185" s="180">
        <f t="shared" si="58"/>
        <v>0</v>
      </c>
    </row>
    <row r="186" spans="1:13" ht="140.4">
      <c r="A186" s="22" t="s">
        <v>401</v>
      </c>
      <c r="B186" s="74">
        <v>871</v>
      </c>
      <c r="C186" s="73" t="s">
        <v>19</v>
      </c>
      <c r="D186" s="73" t="s">
        <v>38</v>
      </c>
      <c r="E186" s="73" t="s">
        <v>113</v>
      </c>
      <c r="F186" s="74">
        <v>2</v>
      </c>
      <c r="G186" s="73" t="s">
        <v>15</v>
      </c>
      <c r="H186" s="73" t="s">
        <v>400</v>
      </c>
      <c r="I186" s="74"/>
      <c r="J186" s="64">
        <f>J187</f>
        <v>347952.5</v>
      </c>
      <c r="K186" s="64">
        <f t="shared" si="83"/>
        <v>347952.5</v>
      </c>
      <c r="L186" s="64">
        <f t="shared" si="83"/>
        <v>347952.5</v>
      </c>
      <c r="M186" s="180">
        <f t="shared" si="58"/>
        <v>0</v>
      </c>
    </row>
    <row r="187" spans="1:13">
      <c r="A187" s="27" t="s">
        <v>116</v>
      </c>
      <c r="B187" s="74">
        <v>871</v>
      </c>
      <c r="C187" s="73" t="s">
        <v>19</v>
      </c>
      <c r="D187" s="73" t="s">
        <v>38</v>
      </c>
      <c r="E187" s="73" t="s">
        <v>113</v>
      </c>
      <c r="F187" s="74">
        <v>2</v>
      </c>
      <c r="G187" s="73" t="s">
        <v>15</v>
      </c>
      <c r="H187" s="73" t="s">
        <v>400</v>
      </c>
      <c r="I187" s="74">
        <v>540</v>
      </c>
      <c r="J187" s="64">
        <v>347952.5</v>
      </c>
      <c r="K187" s="64">
        <v>347952.5</v>
      </c>
      <c r="L187" s="64">
        <v>347952.5</v>
      </c>
      <c r="M187" s="180">
        <f t="shared" si="58"/>
        <v>0</v>
      </c>
    </row>
    <row r="188" spans="1:13" ht="31.2" hidden="1">
      <c r="A188" s="22" t="s">
        <v>61</v>
      </c>
      <c r="B188" s="19" t="s">
        <v>5</v>
      </c>
      <c r="C188" s="19" t="s">
        <v>19</v>
      </c>
      <c r="D188" s="19" t="s">
        <v>62</v>
      </c>
      <c r="E188" s="19"/>
      <c r="F188" s="20"/>
      <c r="G188" s="19"/>
      <c r="H188" s="19"/>
      <c r="I188" s="20"/>
      <c r="J188" s="64">
        <f>J189</f>
        <v>0</v>
      </c>
      <c r="K188" s="64">
        <f t="shared" ref="K188:L190" si="84">K189</f>
        <v>0</v>
      </c>
      <c r="L188" s="64">
        <f t="shared" si="84"/>
        <v>0</v>
      </c>
      <c r="M188" s="180">
        <f t="shared" si="58"/>
        <v>0</v>
      </c>
    </row>
    <row r="189" spans="1:13" ht="62.4" hidden="1">
      <c r="A189" s="22" t="s">
        <v>206</v>
      </c>
      <c r="B189" s="19" t="s">
        <v>5</v>
      </c>
      <c r="C189" s="19" t="s">
        <v>19</v>
      </c>
      <c r="D189" s="19" t="s">
        <v>62</v>
      </c>
      <c r="E189" s="19" t="s">
        <v>45</v>
      </c>
      <c r="F189" s="20">
        <v>0</v>
      </c>
      <c r="G189" s="19" t="s">
        <v>15</v>
      </c>
      <c r="H189" s="19" t="s">
        <v>16</v>
      </c>
      <c r="I189" s="20"/>
      <c r="J189" s="64">
        <f>J190</f>
        <v>0</v>
      </c>
      <c r="K189" s="64">
        <f t="shared" si="84"/>
        <v>0</v>
      </c>
      <c r="L189" s="64">
        <f t="shared" si="84"/>
        <v>0</v>
      </c>
      <c r="M189" s="180">
        <f t="shared" si="58"/>
        <v>0</v>
      </c>
    </row>
    <row r="190" spans="1:13" ht="31.2" hidden="1">
      <c r="A190" s="22" t="s">
        <v>207</v>
      </c>
      <c r="B190" s="19" t="s">
        <v>5</v>
      </c>
      <c r="C190" s="19" t="s">
        <v>19</v>
      </c>
      <c r="D190" s="19" t="s">
        <v>62</v>
      </c>
      <c r="E190" s="19" t="s">
        <v>45</v>
      </c>
      <c r="F190" s="20">
        <v>0</v>
      </c>
      <c r="G190" s="19" t="s">
        <v>15</v>
      </c>
      <c r="H190" s="19" t="s">
        <v>208</v>
      </c>
      <c r="I190" s="20"/>
      <c r="J190" s="64">
        <f>J191</f>
        <v>0</v>
      </c>
      <c r="K190" s="64">
        <f t="shared" si="84"/>
        <v>0</v>
      </c>
      <c r="L190" s="64">
        <f t="shared" si="84"/>
        <v>0</v>
      </c>
      <c r="M190" s="180">
        <f t="shared" si="58"/>
        <v>0</v>
      </c>
    </row>
    <row r="191" spans="1:13" ht="31.2" hidden="1">
      <c r="A191" s="22" t="s">
        <v>22</v>
      </c>
      <c r="B191" s="20">
        <v>871</v>
      </c>
      <c r="C191" s="19" t="s">
        <v>19</v>
      </c>
      <c r="D191" s="19" t="s">
        <v>62</v>
      </c>
      <c r="E191" s="19" t="s">
        <v>45</v>
      </c>
      <c r="F191" s="20">
        <v>0</v>
      </c>
      <c r="G191" s="19" t="s">
        <v>15</v>
      </c>
      <c r="H191" s="19" t="s">
        <v>208</v>
      </c>
      <c r="I191" s="20">
        <v>240</v>
      </c>
      <c r="J191" s="64"/>
      <c r="K191" s="64"/>
      <c r="L191" s="64"/>
      <c r="M191" s="180">
        <f t="shared" si="58"/>
        <v>0</v>
      </c>
    </row>
    <row r="192" spans="1:13">
      <c r="A192" s="29" t="s">
        <v>63</v>
      </c>
      <c r="B192" s="20">
        <v>871</v>
      </c>
      <c r="C192" s="19" t="s">
        <v>31</v>
      </c>
      <c r="D192" s="20" t="s">
        <v>1</v>
      </c>
      <c r="E192" s="19"/>
      <c r="F192" s="20"/>
      <c r="G192" s="19"/>
      <c r="H192" s="19"/>
      <c r="I192" s="20"/>
      <c r="J192" s="64">
        <f>J193+J213+J218</f>
        <v>51507474.470000014</v>
      </c>
      <c r="K192" s="64">
        <f t="shared" ref="K192:L192" si="85">K193+K213+K218</f>
        <v>51526131.469999999</v>
      </c>
      <c r="L192" s="64">
        <f t="shared" si="85"/>
        <v>13771001.760000002</v>
      </c>
      <c r="M192" s="180">
        <f t="shared" si="58"/>
        <v>37736472.710000008</v>
      </c>
    </row>
    <row r="193" spans="1:13">
      <c r="A193" s="21" t="s">
        <v>66</v>
      </c>
      <c r="B193" s="19" t="s">
        <v>5</v>
      </c>
      <c r="C193" s="19" t="s">
        <v>31</v>
      </c>
      <c r="D193" s="19" t="s">
        <v>50</v>
      </c>
      <c r="E193" s="19"/>
      <c r="F193" s="20"/>
      <c r="G193" s="19"/>
      <c r="H193" s="19"/>
      <c r="I193" s="20"/>
      <c r="J193" s="64">
        <f>J194</f>
        <v>51402936.470000014</v>
      </c>
      <c r="K193" s="64">
        <f t="shared" ref="K193:L194" si="86">K194</f>
        <v>51402936.469999999</v>
      </c>
      <c r="L193" s="64">
        <f t="shared" si="86"/>
        <v>13666463.760000002</v>
      </c>
      <c r="M193" s="180">
        <f t="shared" si="58"/>
        <v>37736472.710000008</v>
      </c>
    </row>
    <row r="194" spans="1:13" ht="62.4">
      <c r="A194" s="21" t="s">
        <v>209</v>
      </c>
      <c r="B194" s="19" t="s">
        <v>5</v>
      </c>
      <c r="C194" s="19" t="s">
        <v>31</v>
      </c>
      <c r="D194" s="19" t="s">
        <v>50</v>
      </c>
      <c r="E194" s="19" t="s">
        <v>19</v>
      </c>
      <c r="F194" s="20">
        <v>0</v>
      </c>
      <c r="G194" s="19" t="s">
        <v>15</v>
      </c>
      <c r="H194" s="19" t="s">
        <v>16</v>
      </c>
      <c r="I194" s="20"/>
      <c r="J194" s="64">
        <f>J195</f>
        <v>51402936.470000014</v>
      </c>
      <c r="K194" s="64">
        <f t="shared" si="86"/>
        <v>51402936.469999999</v>
      </c>
      <c r="L194" s="64">
        <f t="shared" si="86"/>
        <v>13666463.760000002</v>
      </c>
      <c r="M194" s="180">
        <f t="shared" si="58"/>
        <v>37736472.710000008</v>
      </c>
    </row>
    <row r="195" spans="1:13" ht="62.4">
      <c r="A195" s="22" t="s">
        <v>210</v>
      </c>
      <c r="B195" s="19" t="s">
        <v>5</v>
      </c>
      <c r="C195" s="19" t="s">
        <v>31</v>
      </c>
      <c r="D195" s="19" t="s">
        <v>50</v>
      </c>
      <c r="E195" s="19" t="s">
        <v>19</v>
      </c>
      <c r="F195" s="20">
        <v>1</v>
      </c>
      <c r="G195" s="19" t="s">
        <v>15</v>
      </c>
      <c r="H195" s="19" t="s">
        <v>16</v>
      </c>
      <c r="I195" s="20"/>
      <c r="J195" s="64">
        <f>J196+J199+J201+J203+J205+J209+J211+J207</f>
        <v>51402936.470000014</v>
      </c>
      <c r="K195" s="64">
        <f t="shared" ref="K195:L195" si="87">K196+K199+K201+K203+K205+K209+K211+K207</f>
        <v>51402936.469999999</v>
      </c>
      <c r="L195" s="64">
        <f t="shared" si="87"/>
        <v>13666463.760000002</v>
      </c>
      <c r="M195" s="180">
        <f t="shared" si="58"/>
        <v>37736472.710000008</v>
      </c>
    </row>
    <row r="196" spans="1:13">
      <c r="A196" s="22" t="s">
        <v>211</v>
      </c>
      <c r="B196" s="19" t="s">
        <v>5</v>
      </c>
      <c r="C196" s="19" t="s">
        <v>31</v>
      </c>
      <c r="D196" s="19" t="s">
        <v>50</v>
      </c>
      <c r="E196" s="19" t="s">
        <v>19</v>
      </c>
      <c r="F196" s="20">
        <v>1</v>
      </c>
      <c r="G196" s="19" t="s">
        <v>15</v>
      </c>
      <c r="H196" s="19" t="s">
        <v>212</v>
      </c>
      <c r="I196" s="20"/>
      <c r="J196" s="64">
        <f>J197+J198</f>
        <v>40463705.500000007</v>
      </c>
      <c r="K196" s="64">
        <f t="shared" ref="K196:L196" si="88">K197+K198</f>
        <v>40313705.5</v>
      </c>
      <c r="L196" s="64">
        <f t="shared" si="88"/>
        <v>4483305.0500000007</v>
      </c>
      <c r="M196" s="180">
        <f t="shared" si="58"/>
        <v>35980400.450000003</v>
      </c>
    </row>
    <row r="197" spans="1:13" ht="31.2">
      <c r="A197" s="22" t="s">
        <v>22</v>
      </c>
      <c r="B197" s="19" t="s">
        <v>5</v>
      </c>
      <c r="C197" s="19" t="s">
        <v>31</v>
      </c>
      <c r="D197" s="19" t="s">
        <v>50</v>
      </c>
      <c r="E197" s="19" t="s">
        <v>19</v>
      </c>
      <c r="F197" s="20">
        <v>1</v>
      </c>
      <c r="G197" s="19" t="s">
        <v>15</v>
      </c>
      <c r="H197" s="19" t="s">
        <v>212</v>
      </c>
      <c r="I197" s="20">
        <v>240</v>
      </c>
      <c r="J197" s="64">
        <f>1000000+1574636.53+125363.47-1818.07</f>
        <v>2698181.9300000006</v>
      </c>
      <c r="K197" s="64">
        <v>2698181.93</v>
      </c>
      <c r="L197" s="64">
        <v>2302182.39</v>
      </c>
      <c r="M197" s="180">
        <f t="shared" si="58"/>
        <v>395999.5400000005</v>
      </c>
    </row>
    <row r="198" spans="1:13">
      <c r="A198" s="22" t="s">
        <v>49</v>
      </c>
      <c r="B198" s="70" t="s">
        <v>5</v>
      </c>
      <c r="C198" s="70" t="s">
        <v>31</v>
      </c>
      <c r="D198" s="70" t="s">
        <v>50</v>
      </c>
      <c r="E198" s="70" t="s">
        <v>19</v>
      </c>
      <c r="F198" s="71">
        <v>1</v>
      </c>
      <c r="G198" s="70" t="s">
        <v>15</v>
      </c>
      <c r="H198" s="70" t="s">
        <v>212</v>
      </c>
      <c r="I198" s="71">
        <v>410</v>
      </c>
      <c r="J198" s="64">
        <f>38360539.03-1574636.53+986480.56-273010.48+1818.07+25150+100275.46+168783.67-29876.21</f>
        <v>37765523.570000008</v>
      </c>
      <c r="K198" s="64">
        <v>37615523.57</v>
      </c>
      <c r="L198" s="64">
        <v>2181122.66</v>
      </c>
      <c r="M198" s="180">
        <f t="shared" si="58"/>
        <v>35584400.910000011</v>
      </c>
    </row>
    <row r="199" spans="1:13" hidden="1">
      <c r="A199" s="22" t="s">
        <v>213</v>
      </c>
      <c r="B199" s="19" t="s">
        <v>5</v>
      </c>
      <c r="C199" s="19" t="s">
        <v>31</v>
      </c>
      <c r="D199" s="19" t="s">
        <v>50</v>
      </c>
      <c r="E199" s="19" t="s">
        <v>19</v>
      </c>
      <c r="F199" s="20">
        <v>1</v>
      </c>
      <c r="G199" s="19" t="s">
        <v>15</v>
      </c>
      <c r="H199" s="19" t="s">
        <v>214</v>
      </c>
      <c r="I199" s="20"/>
      <c r="J199" s="64">
        <f>J200</f>
        <v>0</v>
      </c>
      <c r="K199" s="64">
        <f t="shared" ref="K199:L199" si="89">K200</f>
        <v>0</v>
      </c>
      <c r="L199" s="64">
        <f t="shared" si="89"/>
        <v>0</v>
      </c>
      <c r="M199" s="180">
        <f t="shared" si="58"/>
        <v>0</v>
      </c>
    </row>
    <row r="200" spans="1:13" ht="31.2" hidden="1">
      <c r="A200" s="22" t="s">
        <v>22</v>
      </c>
      <c r="B200" s="19" t="s">
        <v>5</v>
      </c>
      <c r="C200" s="19" t="s">
        <v>31</v>
      </c>
      <c r="D200" s="19" t="s">
        <v>50</v>
      </c>
      <c r="E200" s="19" t="s">
        <v>19</v>
      </c>
      <c r="F200" s="20">
        <v>1</v>
      </c>
      <c r="G200" s="19" t="s">
        <v>15</v>
      </c>
      <c r="H200" s="19" t="s">
        <v>214</v>
      </c>
      <c r="I200" s="20">
        <v>240</v>
      </c>
      <c r="J200" s="64"/>
      <c r="K200" s="64"/>
      <c r="L200" s="64"/>
      <c r="M200" s="180">
        <f t="shared" si="58"/>
        <v>0</v>
      </c>
    </row>
    <row r="201" spans="1:13" hidden="1">
      <c r="A201" s="22" t="s">
        <v>215</v>
      </c>
      <c r="B201" s="20">
        <v>871</v>
      </c>
      <c r="C201" s="19" t="s">
        <v>31</v>
      </c>
      <c r="D201" s="19" t="s">
        <v>50</v>
      </c>
      <c r="E201" s="19" t="s">
        <v>19</v>
      </c>
      <c r="F201" s="20">
        <v>1</v>
      </c>
      <c r="G201" s="19" t="s">
        <v>15</v>
      </c>
      <c r="H201" s="19" t="s">
        <v>216</v>
      </c>
      <c r="I201" s="20"/>
      <c r="J201" s="64">
        <f>J202</f>
        <v>0</v>
      </c>
      <c r="K201" s="64">
        <f t="shared" ref="K201:L201" si="90">K202</f>
        <v>0</v>
      </c>
      <c r="L201" s="64">
        <f t="shared" si="90"/>
        <v>0</v>
      </c>
      <c r="M201" s="180">
        <f t="shared" si="58"/>
        <v>0</v>
      </c>
    </row>
    <row r="202" spans="1:13" hidden="1">
      <c r="A202" s="22" t="s">
        <v>49</v>
      </c>
      <c r="B202" s="20">
        <v>871</v>
      </c>
      <c r="C202" s="19" t="s">
        <v>31</v>
      </c>
      <c r="D202" s="19" t="s">
        <v>50</v>
      </c>
      <c r="E202" s="19" t="s">
        <v>19</v>
      </c>
      <c r="F202" s="20">
        <v>1</v>
      </c>
      <c r="G202" s="19" t="s">
        <v>15</v>
      </c>
      <c r="H202" s="19" t="s">
        <v>216</v>
      </c>
      <c r="I202" s="20">
        <v>410</v>
      </c>
      <c r="J202" s="64"/>
      <c r="K202" s="64"/>
      <c r="L202" s="64"/>
      <c r="M202" s="180">
        <f t="shared" si="58"/>
        <v>0</v>
      </c>
    </row>
    <row r="203" spans="1:13" ht="46.8">
      <c r="A203" s="22" t="s">
        <v>217</v>
      </c>
      <c r="B203" s="20">
        <v>871</v>
      </c>
      <c r="C203" s="19" t="s">
        <v>31</v>
      </c>
      <c r="D203" s="19" t="s">
        <v>50</v>
      </c>
      <c r="E203" s="19" t="s">
        <v>19</v>
      </c>
      <c r="F203" s="20">
        <v>1</v>
      </c>
      <c r="G203" s="19" t="s">
        <v>15</v>
      </c>
      <c r="H203" s="19" t="s">
        <v>218</v>
      </c>
      <c r="I203" s="20"/>
      <c r="J203" s="64">
        <f>J204</f>
        <v>24850</v>
      </c>
      <c r="K203" s="64">
        <f t="shared" ref="K203:L203" si="91">K204</f>
        <v>24850</v>
      </c>
      <c r="L203" s="64">
        <f t="shared" si="91"/>
        <v>24850</v>
      </c>
      <c r="M203" s="180">
        <f t="shared" si="58"/>
        <v>0</v>
      </c>
    </row>
    <row r="204" spans="1:13" ht="31.2">
      <c r="A204" s="22" t="s">
        <v>22</v>
      </c>
      <c r="B204" s="20">
        <v>871</v>
      </c>
      <c r="C204" s="19" t="s">
        <v>31</v>
      </c>
      <c r="D204" s="19" t="s">
        <v>50</v>
      </c>
      <c r="E204" s="19" t="s">
        <v>19</v>
      </c>
      <c r="F204" s="20">
        <v>1</v>
      </c>
      <c r="G204" s="19" t="s">
        <v>15</v>
      </c>
      <c r="H204" s="19" t="s">
        <v>218</v>
      </c>
      <c r="I204" s="20">
        <v>240</v>
      </c>
      <c r="J204" s="64">
        <f>50000-25150</f>
        <v>24850</v>
      </c>
      <c r="K204" s="64">
        <v>24850</v>
      </c>
      <c r="L204" s="64">
        <v>24850</v>
      </c>
      <c r="M204" s="180">
        <f t="shared" si="58"/>
        <v>0</v>
      </c>
    </row>
    <row r="205" spans="1:13">
      <c r="A205" s="22" t="s">
        <v>413</v>
      </c>
      <c r="B205" s="82">
        <v>871</v>
      </c>
      <c r="C205" s="81" t="s">
        <v>31</v>
      </c>
      <c r="D205" s="81" t="s">
        <v>50</v>
      </c>
      <c r="E205" s="81" t="s">
        <v>19</v>
      </c>
      <c r="F205" s="82">
        <v>1</v>
      </c>
      <c r="G205" s="81" t="s">
        <v>15</v>
      </c>
      <c r="H205" s="81" t="s">
        <v>412</v>
      </c>
      <c r="I205" s="82"/>
      <c r="J205" s="64">
        <f>J206</f>
        <v>1082028.0699999998</v>
      </c>
      <c r="K205" s="64">
        <f t="shared" ref="K205:L205" si="92">K206</f>
        <v>1082028.07</v>
      </c>
      <c r="L205" s="64">
        <f t="shared" si="92"/>
        <v>703308.24</v>
      </c>
      <c r="M205" s="180">
        <f t="shared" ref="M205:M268" si="93">J205-L205</f>
        <v>378719.82999999984</v>
      </c>
    </row>
    <row r="206" spans="1:13">
      <c r="A206" s="22" t="s">
        <v>49</v>
      </c>
      <c r="B206" s="82">
        <v>871</v>
      </c>
      <c r="C206" s="81" t="s">
        <v>31</v>
      </c>
      <c r="D206" s="81" t="s">
        <v>50</v>
      </c>
      <c r="E206" s="81" t="s">
        <v>19</v>
      </c>
      <c r="F206" s="82">
        <v>1</v>
      </c>
      <c r="G206" s="81" t="s">
        <v>15</v>
      </c>
      <c r="H206" s="81" t="s">
        <v>412</v>
      </c>
      <c r="I206" s="82">
        <v>410</v>
      </c>
      <c r="J206" s="64">
        <f>1579389.97-497361.9</f>
        <v>1082028.0699999998</v>
      </c>
      <c r="K206" s="64">
        <v>1082028.07</v>
      </c>
      <c r="L206" s="64">
        <v>703308.24</v>
      </c>
      <c r="M206" s="180">
        <f t="shared" si="93"/>
        <v>378719.82999999984</v>
      </c>
    </row>
    <row r="207" spans="1:13">
      <c r="A207" s="22" t="s">
        <v>219</v>
      </c>
      <c r="B207" s="20">
        <v>871</v>
      </c>
      <c r="C207" s="19" t="s">
        <v>31</v>
      </c>
      <c r="D207" s="19" t="s">
        <v>50</v>
      </c>
      <c r="E207" s="19" t="s">
        <v>19</v>
      </c>
      <c r="F207" s="20">
        <v>1</v>
      </c>
      <c r="G207" s="19" t="s">
        <v>15</v>
      </c>
      <c r="H207" s="19" t="s">
        <v>220</v>
      </c>
      <c r="I207" s="20"/>
      <c r="J207" s="64">
        <f>J208</f>
        <v>6994087.9800000004</v>
      </c>
      <c r="K207" s="64">
        <f t="shared" ref="K207:L207" si="94">K208</f>
        <v>7144087.9800000004</v>
      </c>
      <c r="L207" s="64">
        <f t="shared" si="94"/>
        <v>6178451.1299999999</v>
      </c>
      <c r="M207" s="180">
        <f t="shared" si="93"/>
        <v>815636.85000000056</v>
      </c>
    </row>
    <row r="208" spans="1:13" ht="31.2">
      <c r="A208" s="22" t="s">
        <v>22</v>
      </c>
      <c r="B208" s="20">
        <v>871</v>
      </c>
      <c r="C208" s="19" t="s">
        <v>31</v>
      </c>
      <c r="D208" s="19" t="s">
        <v>50</v>
      </c>
      <c r="E208" s="19" t="s">
        <v>19</v>
      </c>
      <c r="F208" s="20">
        <v>1</v>
      </c>
      <c r="G208" s="19" t="s">
        <v>15</v>
      </c>
      <c r="H208" s="19" t="s">
        <v>220</v>
      </c>
      <c r="I208" s="20">
        <v>240</v>
      </c>
      <c r="J208" s="64">
        <f>7094363.44-100275.46</f>
        <v>6994087.9800000004</v>
      </c>
      <c r="K208" s="64">
        <v>7144087.9800000004</v>
      </c>
      <c r="L208" s="64">
        <v>6178451.1299999999</v>
      </c>
      <c r="M208" s="180">
        <f t="shared" si="93"/>
        <v>815636.85000000056</v>
      </c>
    </row>
    <row r="209" spans="1:13" hidden="1">
      <c r="A209" s="22" t="s">
        <v>221</v>
      </c>
      <c r="B209" s="20">
        <v>871</v>
      </c>
      <c r="C209" s="19" t="s">
        <v>31</v>
      </c>
      <c r="D209" s="19" t="s">
        <v>50</v>
      </c>
      <c r="E209" s="19" t="s">
        <v>19</v>
      </c>
      <c r="F209" s="20">
        <v>1</v>
      </c>
      <c r="G209" s="19" t="s">
        <v>15</v>
      </c>
      <c r="H209" s="19" t="s">
        <v>222</v>
      </c>
      <c r="I209" s="20"/>
      <c r="J209" s="64">
        <f>J210</f>
        <v>0</v>
      </c>
      <c r="K209" s="64">
        <f t="shared" ref="K209:L209" si="95">K210</f>
        <v>0</v>
      </c>
      <c r="L209" s="64">
        <f t="shared" si="95"/>
        <v>0</v>
      </c>
      <c r="M209" s="180">
        <f t="shared" si="93"/>
        <v>0</v>
      </c>
    </row>
    <row r="210" spans="1:13" hidden="1">
      <c r="A210" s="22" t="s">
        <v>49</v>
      </c>
      <c r="B210" s="20">
        <v>871</v>
      </c>
      <c r="C210" s="19" t="s">
        <v>31</v>
      </c>
      <c r="D210" s="19" t="s">
        <v>50</v>
      </c>
      <c r="E210" s="19" t="s">
        <v>19</v>
      </c>
      <c r="F210" s="20">
        <v>1</v>
      </c>
      <c r="G210" s="19" t="s">
        <v>15</v>
      </c>
      <c r="H210" s="19" t="s">
        <v>222</v>
      </c>
      <c r="I210" s="20">
        <v>410</v>
      </c>
      <c r="J210" s="64"/>
      <c r="K210" s="64"/>
      <c r="L210" s="64"/>
      <c r="M210" s="180">
        <f t="shared" si="93"/>
        <v>0</v>
      </c>
    </row>
    <row r="211" spans="1:13" ht="31.2">
      <c r="A211" s="22" t="s">
        <v>223</v>
      </c>
      <c r="B211" s="20">
        <v>871</v>
      </c>
      <c r="C211" s="19" t="s">
        <v>31</v>
      </c>
      <c r="D211" s="19" t="s">
        <v>50</v>
      </c>
      <c r="E211" s="19" t="s">
        <v>19</v>
      </c>
      <c r="F211" s="20">
        <v>1</v>
      </c>
      <c r="G211" s="19" t="s">
        <v>15</v>
      </c>
      <c r="H211" s="19" t="s">
        <v>224</v>
      </c>
      <c r="I211" s="20"/>
      <c r="J211" s="64">
        <f>J212</f>
        <v>2838264.92</v>
      </c>
      <c r="K211" s="64">
        <f t="shared" ref="K211:L211" si="96">K212</f>
        <v>2838264.92</v>
      </c>
      <c r="L211" s="64">
        <f t="shared" si="96"/>
        <v>2276549.34</v>
      </c>
      <c r="M211" s="180">
        <f t="shared" si="93"/>
        <v>561715.58000000007</v>
      </c>
    </row>
    <row r="212" spans="1:13" ht="31.2">
      <c r="A212" s="22" t="s">
        <v>22</v>
      </c>
      <c r="B212" s="20">
        <v>871</v>
      </c>
      <c r="C212" s="19" t="s">
        <v>31</v>
      </c>
      <c r="D212" s="19" t="s">
        <v>50</v>
      </c>
      <c r="E212" s="19" t="s">
        <v>19</v>
      </c>
      <c r="F212" s="20">
        <v>1</v>
      </c>
      <c r="G212" s="19" t="s">
        <v>15</v>
      </c>
      <c r="H212" s="19" t="s">
        <v>224</v>
      </c>
      <c r="I212" s="20">
        <v>240</v>
      </c>
      <c r="J212" s="64">
        <f>2206800+273010.48+497361.9-168783.67+29876.21</f>
        <v>2838264.92</v>
      </c>
      <c r="K212" s="64">
        <v>2838264.92</v>
      </c>
      <c r="L212" s="64">
        <v>2276549.34</v>
      </c>
      <c r="M212" s="180">
        <f t="shared" si="93"/>
        <v>561715.58000000007</v>
      </c>
    </row>
    <row r="213" spans="1:13">
      <c r="A213" s="22" t="s">
        <v>67</v>
      </c>
      <c r="B213" s="20">
        <v>871</v>
      </c>
      <c r="C213" s="19" t="s">
        <v>31</v>
      </c>
      <c r="D213" s="19" t="s">
        <v>38</v>
      </c>
      <c r="E213" s="19"/>
      <c r="F213" s="19"/>
      <c r="G213" s="19"/>
      <c r="H213" s="19"/>
      <c r="I213" s="20" t="s">
        <v>94</v>
      </c>
      <c r="J213" s="64">
        <f>J214</f>
        <v>74538</v>
      </c>
      <c r="K213" s="64">
        <f t="shared" ref="K213:L216" si="97">K214</f>
        <v>93195</v>
      </c>
      <c r="L213" s="64">
        <f t="shared" si="97"/>
        <v>74538</v>
      </c>
      <c r="M213" s="180">
        <f t="shared" si="93"/>
        <v>0</v>
      </c>
    </row>
    <row r="214" spans="1:13">
      <c r="A214" s="22" t="s">
        <v>27</v>
      </c>
      <c r="B214" s="20">
        <v>871</v>
      </c>
      <c r="C214" s="19" t="s">
        <v>31</v>
      </c>
      <c r="D214" s="19" t="s">
        <v>38</v>
      </c>
      <c r="E214" s="19" t="s">
        <v>28</v>
      </c>
      <c r="F214" s="20">
        <v>0</v>
      </c>
      <c r="G214" s="19" t="s">
        <v>15</v>
      </c>
      <c r="H214" s="19" t="s">
        <v>16</v>
      </c>
      <c r="I214" s="20"/>
      <c r="J214" s="64">
        <f>J215</f>
        <v>74538</v>
      </c>
      <c r="K214" s="64">
        <f t="shared" si="97"/>
        <v>93195</v>
      </c>
      <c r="L214" s="64">
        <f t="shared" si="97"/>
        <v>74538</v>
      </c>
      <c r="M214" s="180">
        <f t="shared" si="93"/>
        <v>0</v>
      </c>
    </row>
    <row r="215" spans="1:13">
      <c r="A215" s="22" t="s">
        <v>174</v>
      </c>
      <c r="B215" s="19" t="s">
        <v>5</v>
      </c>
      <c r="C215" s="19" t="s">
        <v>31</v>
      </c>
      <c r="D215" s="19" t="s">
        <v>38</v>
      </c>
      <c r="E215" s="19" t="s">
        <v>28</v>
      </c>
      <c r="F215" s="20">
        <v>9</v>
      </c>
      <c r="G215" s="19" t="s">
        <v>15</v>
      </c>
      <c r="H215" s="19" t="s">
        <v>16</v>
      </c>
      <c r="I215" s="20"/>
      <c r="J215" s="64">
        <f>J216</f>
        <v>74538</v>
      </c>
      <c r="K215" s="64">
        <f t="shared" si="97"/>
        <v>93195</v>
      </c>
      <c r="L215" s="64">
        <f t="shared" si="97"/>
        <v>74538</v>
      </c>
      <c r="M215" s="180">
        <f t="shared" si="93"/>
        <v>0</v>
      </c>
    </row>
    <row r="216" spans="1:13" ht="46.8">
      <c r="A216" s="22" t="s">
        <v>225</v>
      </c>
      <c r="B216" s="19" t="s">
        <v>5</v>
      </c>
      <c r="C216" s="19" t="s">
        <v>31</v>
      </c>
      <c r="D216" s="19" t="s">
        <v>38</v>
      </c>
      <c r="E216" s="19" t="s">
        <v>28</v>
      </c>
      <c r="F216" s="20">
        <v>9</v>
      </c>
      <c r="G216" s="19" t="s">
        <v>15</v>
      </c>
      <c r="H216" s="19" t="s">
        <v>68</v>
      </c>
      <c r="I216" s="20"/>
      <c r="J216" s="64">
        <f>J217</f>
        <v>74538</v>
      </c>
      <c r="K216" s="64">
        <f t="shared" si="97"/>
        <v>93195</v>
      </c>
      <c r="L216" s="64">
        <f t="shared" si="97"/>
        <v>74538</v>
      </c>
      <c r="M216" s="180">
        <f t="shared" si="93"/>
        <v>0</v>
      </c>
    </row>
    <row r="217" spans="1:13" ht="31.2">
      <c r="A217" s="22" t="s">
        <v>22</v>
      </c>
      <c r="B217" s="19" t="s">
        <v>5</v>
      </c>
      <c r="C217" s="19" t="s">
        <v>31</v>
      </c>
      <c r="D217" s="19" t="s">
        <v>38</v>
      </c>
      <c r="E217" s="19" t="s">
        <v>28</v>
      </c>
      <c r="F217" s="20">
        <v>9</v>
      </c>
      <c r="G217" s="19" t="s">
        <v>15</v>
      </c>
      <c r="H217" s="19" t="s">
        <v>68</v>
      </c>
      <c r="I217" s="20">
        <v>240</v>
      </c>
      <c r="J217" s="64">
        <v>74538</v>
      </c>
      <c r="K217" s="64">
        <v>93195</v>
      </c>
      <c r="L217" s="64">
        <v>74538</v>
      </c>
      <c r="M217" s="180">
        <f t="shared" si="93"/>
        <v>0</v>
      </c>
    </row>
    <row r="218" spans="1:13">
      <c r="A218" s="21" t="s">
        <v>69</v>
      </c>
      <c r="B218" s="20">
        <v>871</v>
      </c>
      <c r="C218" s="19" t="s">
        <v>31</v>
      </c>
      <c r="D218" s="19" t="s">
        <v>45</v>
      </c>
      <c r="E218" s="19"/>
      <c r="F218" s="19"/>
      <c r="G218" s="19"/>
      <c r="H218" s="19"/>
      <c r="I218" s="20" t="s">
        <v>94</v>
      </c>
      <c r="J218" s="63">
        <f>J219</f>
        <v>30000</v>
      </c>
      <c r="K218" s="63">
        <f t="shared" ref="K218:L218" si="98">K219</f>
        <v>30000</v>
      </c>
      <c r="L218" s="63">
        <f t="shared" si="98"/>
        <v>30000</v>
      </c>
      <c r="M218" s="180">
        <f t="shared" si="93"/>
        <v>0</v>
      </c>
    </row>
    <row r="219" spans="1:13" ht="62.4">
      <c r="A219" s="22" t="s">
        <v>226</v>
      </c>
      <c r="B219" s="20">
        <v>871</v>
      </c>
      <c r="C219" s="19" t="s">
        <v>31</v>
      </c>
      <c r="D219" s="19" t="s">
        <v>45</v>
      </c>
      <c r="E219" s="19" t="s">
        <v>31</v>
      </c>
      <c r="F219" s="20">
        <v>0</v>
      </c>
      <c r="G219" s="19" t="s">
        <v>15</v>
      </c>
      <c r="H219" s="19" t="s">
        <v>16</v>
      </c>
      <c r="I219" s="20"/>
      <c r="J219" s="64">
        <f>J220+J222</f>
        <v>30000</v>
      </c>
      <c r="K219" s="64">
        <f t="shared" ref="K219:L219" si="99">K220+K222</f>
        <v>30000</v>
      </c>
      <c r="L219" s="64">
        <f t="shared" si="99"/>
        <v>30000</v>
      </c>
      <c r="M219" s="180">
        <f t="shared" si="93"/>
        <v>0</v>
      </c>
    </row>
    <row r="220" spans="1:13" ht="109.2" hidden="1">
      <c r="A220" s="22" t="s">
        <v>227</v>
      </c>
      <c r="B220" s="19" t="s">
        <v>5</v>
      </c>
      <c r="C220" s="19" t="s">
        <v>31</v>
      </c>
      <c r="D220" s="19" t="s">
        <v>45</v>
      </c>
      <c r="E220" s="19" t="s">
        <v>31</v>
      </c>
      <c r="F220" s="20">
        <v>0</v>
      </c>
      <c r="G220" s="19" t="s">
        <v>15</v>
      </c>
      <c r="H220" s="19" t="s">
        <v>228</v>
      </c>
      <c r="I220" s="20"/>
      <c r="J220" s="64">
        <f>J221</f>
        <v>0</v>
      </c>
      <c r="K220" s="64">
        <f t="shared" ref="K220:L220" si="100">K221</f>
        <v>0</v>
      </c>
      <c r="L220" s="64">
        <f t="shared" si="100"/>
        <v>0</v>
      </c>
      <c r="M220" s="180">
        <f t="shared" si="93"/>
        <v>0</v>
      </c>
    </row>
    <row r="221" spans="1:13" ht="46.8" hidden="1">
      <c r="A221" s="22" t="s">
        <v>229</v>
      </c>
      <c r="B221" s="19" t="s">
        <v>5</v>
      </c>
      <c r="C221" s="19" t="s">
        <v>31</v>
      </c>
      <c r="D221" s="19" t="s">
        <v>45</v>
      </c>
      <c r="E221" s="19" t="s">
        <v>31</v>
      </c>
      <c r="F221" s="20">
        <v>0</v>
      </c>
      <c r="G221" s="19" t="s">
        <v>15</v>
      </c>
      <c r="H221" s="19" t="s">
        <v>228</v>
      </c>
      <c r="I221" s="20">
        <v>810</v>
      </c>
      <c r="J221" s="64"/>
      <c r="K221" s="64"/>
      <c r="L221" s="64"/>
      <c r="M221" s="180">
        <f t="shared" si="93"/>
        <v>0</v>
      </c>
    </row>
    <row r="222" spans="1:13">
      <c r="A222" s="22" t="s">
        <v>230</v>
      </c>
      <c r="B222" s="19" t="s">
        <v>5</v>
      </c>
      <c r="C222" s="19" t="s">
        <v>31</v>
      </c>
      <c r="D222" s="19" t="s">
        <v>45</v>
      </c>
      <c r="E222" s="19" t="s">
        <v>31</v>
      </c>
      <c r="F222" s="20">
        <v>0</v>
      </c>
      <c r="G222" s="19" t="s">
        <v>15</v>
      </c>
      <c r="H222" s="19" t="s">
        <v>231</v>
      </c>
      <c r="I222" s="20"/>
      <c r="J222" s="64">
        <f>J223</f>
        <v>30000</v>
      </c>
      <c r="K222" s="64">
        <f t="shared" ref="K222:L222" si="101">K223</f>
        <v>30000</v>
      </c>
      <c r="L222" s="64">
        <f t="shared" si="101"/>
        <v>30000</v>
      </c>
      <c r="M222" s="180">
        <f t="shared" si="93"/>
        <v>0</v>
      </c>
    </row>
    <row r="223" spans="1:13" ht="46.8">
      <c r="A223" s="22" t="s">
        <v>229</v>
      </c>
      <c r="B223" s="19" t="s">
        <v>5</v>
      </c>
      <c r="C223" s="19" t="s">
        <v>31</v>
      </c>
      <c r="D223" s="19" t="s">
        <v>45</v>
      </c>
      <c r="E223" s="19" t="s">
        <v>31</v>
      </c>
      <c r="F223" s="20">
        <v>0</v>
      </c>
      <c r="G223" s="19" t="s">
        <v>15</v>
      </c>
      <c r="H223" s="19" t="s">
        <v>231</v>
      </c>
      <c r="I223" s="20">
        <v>810</v>
      </c>
      <c r="J223" s="64">
        <v>30000</v>
      </c>
      <c r="K223" s="64">
        <v>30000</v>
      </c>
      <c r="L223" s="64">
        <v>30000</v>
      </c>
      <c r="M223" s="180">
        <f t="shared" si="93"/>
        <v>0</v>
      </c>
    </row>
    <row r="224" spans="1:13">
      <c r="A224" s="29" t="s">
        <v>621</v>
      </c>
      <c r="B224" s="19" t="s">
        <v>5</v>
      </c>
      <c r="C224" s="19" t="s">
        <v>32</v>
      </c>
      <c r="D224" s="20" t="s">
        <v>1</v>
      </c>
      <c r="E224" s="19"/>
      <c r="F224" s="20"/>
      <c r="G224" s="19"/>
      <c r="H224" s="19"/>
      <c r="I224" s="20"/>
      <c r="J224" s="64">
        <f>J225+J242+J252+J303</f>
        <v>65799341.579999998</v>
      </c>
      <c r="K224" s="64">
        <f t="shared" ref="K224:L224" si="102">K225+K242+K252+K303</f>
        <v>65799341.580000006</v>
      </c>
      <c r="L224" s="64">
        <f t="shared" si="102"/>
        <v>61410084.140000001</v>
      </c>
      <c r="M224" s="180">
        <f t="shared" si="93"/>
        <v>4389257.4399999976</v>
      </c>
    </row>
    <row r="225" spans="1:13">
      <c r="A225" s="21" t="s">
        <v>70</v>
      </c>
      <c r="B225" s="19" t="s">
        <v>5</v>
      </c>
      <c r="C225" s="19" t="s">
        <v>32</v>
      </c>
      <c r="D225" s="20" t="s">
        <v>12</v>
      </c>
      <c r="E225" s="19" t="s">
        <v>15</v>
      </c>
      <c r="F225" s="20">
        <v>0</v>
      </c>
      <c r="G225" s="19" t="s">
        <v>15</v>
      </c>
      <c r="H225" s="19" t="s">
        <v>16</v>
      </c>
      <c r="I225" s="20"/>
      <c r="J225" s="64">
        <f>J226+J238</f>
        <v>12249695.640000001</v>
      </c>
      <c r="K225" s="64">
        <f t="shared" ref="K225:L225" si="103">K226+K238</f>
        <v>12249695.640000001</v>
      </c>
      <c r="L225" s="64">
        <f t="shared" si="103"/>
        <v>12223156.42</v>
      </c>
      <c r="M225" s="180">
        <f t="shared" si="93"/>
        <v>26539.220000000671</v>
      </c>
    </row>
    <row r="226" spans="1:13" ht="62.4">
      <c r="A226" s="22" t="s">
        <v>232</v>
      </c>
      <c r="B226" s="19" t="s">
        <v>5</v>
      </c>
      <c r="C226" s="19" t="s">
        <v>32</v>
      </c>
      <c r="D226" s="19" t="s">
        <v>12</v>
      </c>
      <c r="E226" s="19" t="s">
        <v>32</v>
      </c>
      <c r="F226" s="20">
        <v>0</v>
      </c>
      <c r="G226" s="19" t="s">
        <v>15</v>
      </c>
      <c r="H226" s="19" t="s">
        <v>16</v>
      </c>
      <c r="I226" s="20"/>
      <c r="J226" s="64">
        <f>J227+J230+J235</f>
        <v>11380000</v>
      </c>
      <c r="K226" s="64">
        <f t="shared" ref="K226:L226" si="104">K227+K230+K235</f>
        <v>11380000</v>
      </c>
      <c r="L226" s="64">
        <f t="shared" si="104"/>
        <v>11353460.779999999</v>
      </c>
      <c r="M226" s="180">
        <f t="shared" si="93"/>
        <v>26539.220000000671</v>
      </c>
    </row>
    <row r="227" spans="1:13" ht="31.2">
      <c r="A227" s="22" t="s">
        <v>233</v>
      </c>
      <c r="B227" s="19" t="s">
        <v>5</v>
      </c>
      <c r="C227" s="19" t="s">
        <v>32</v>
      </c>
      <c r="D227" s="19" t="s">
        <v>12</v>
      </c>
      <c r="E227" s="19" t="s">
        <v>32</v>
      </c>
      <c r="F227" s="20">
        <v>1</v>
      </c>
      <c r="G227" s="19" t="s">
        <v>15</v>
      </c>
      <c r="H227" s="19" t="s">
        <v>16</v>
      </c>
      <c r="I227" s="20"/>
      <c r="J227" s="64">
        <f>J228</f>
        <v>30000</v>
      </c>
      <c r="K227" s="64">
        <f t="shared" ref="K227:L228" si="105">K228</f>
        <v>30000</v>
      </c>
      <c r="L227" s="64">
        <f t="shared" si="105"/>
        <v>22460.78</v>
      </c>
      <c r="M227" s="180">
        <f t="shared" si="93"/>
        <v>7539.2200000000012</v>
      </c>
    </row>
    <row r="228" spans="1:13">
      <c r="A228" s="22" t="s">
        <v>234</v>
      </c>
      <c r="B228" s="19" t="s">
        <v>5</v>
      </c>
      <c r="C228" s="19" t="s">
        <v>32</v>
      </c>
      <c r="D228" s="19" t="s">
        <v>12</v>
      </c>
      <c r="E228" s="19" t="s">
        <v>32</v>
      </c>
      <c r="F228" s="20">
        <v>1</v>
      </c>
      <c r="G228" s="19" t="s">
        <v>15</v>
      </c>
      <c r="H228" s="19" t="s">
        <v>235</v>
      </c>
      <c r="I228" s="20"/>
      <c r="J228" s="64">
        <f>J229</f>
        <v>30000</v>
      </c>
      <c r="K228" s="64">
        <f t="shared" si="105"/>
        <v>30000</v>
      </c>
      <c r="L228" s="64">
        <f t="shared" si="105"/>
        <v>22460.78</v>
      </c>
      <c r="M228" s="180">
        <f t="shared" si="93"/>
        <v>7539.2200000000012</v>
      </c>
    </row>
    <row r="229" spans="1:13" ht="31.2">
      <c r="A229" s="22" t="s">
        <v>22</v>
      </c>
      <c r="B229" s="19" t="s">
        <v>5</v>
      </c>
      <c r="C229" s="19" t="s">
        <v>32</v>
      </c>
      <c r="D229" s="19" t="s">
        <v>12</v>
      </c>
      <c r="E229" s="19" t="s">
        <v>32</v>
      </c>
      <c r="F229" s="20">
        <v>1</v>
      </c>
      <c r="G229" s="19" t="s">
        <v>15</v>
      </c>
      <c r="H229" s="19" t="s">
        <v>235</v>
      </c>
      <c r="I229" s="20">
        <v>240</v>
      </c>
      <c r="J229" s="64">
        <f>100000-50000-20000</f>
        <v>30000</v>
      </c>
      <c r="K229" s="64">
        <v>30000</v>
      </c>
      <c r="L229" s="64">
        <v>22460.78</v>
      </c>
      <c r="M229" s="180">
        <f t="shared" si="93"/>
        <v>7539.2200000000012</v>
      </c>
    </row>
    <row r="230" spans="1:13" ht="31.2" hidden="1">
      <c r="A230" s="22" t="s">
        <v>236</v>
      </c>
      <c r="B230" s="19" t="s">
        <v>5</v>
      </c>
      <c r="C230" s="19" t="s">
        <v>32</v>
      </c>
      <c r="D230" s="19" t="s">
        <v>12</v>
      </c>
      <c r="E230" s="19" t="s">
        <v>32</v>
      </c>
      <c r="F230" s="20">
        <v>5</v>
      </c>
      <c r="G230" s="19" t="s">
        <v>15</v>
      </c>
      <c r="H230" s="19" t="s">
        <v>16</v>
      </c>
      <c r="I230" s="20"/>
      <c r="J230" s="64">
        <f>J231+J233</f>
        <v>0</v>
      </c>
      <c r="K230" s="64">
        <f t="shared" ref="K230:L230" si="106">K231+K233</f>
        <v>0</v>
      </c>
      <c r="L230" s="64">
        <f t="shared" si="106"/>
        <v>0</v>
      </c>
      <c r="M230" s="180">
        <f t="shared" si="93"/>
        <v>0</v>
      </c>
    </row>
    <row r="231" spans="1:13" hidden="1">
      <c r="A231" s="22" t="s">
        <v>237</v>
      </c>
      <c r="B231" s="19" t="s">
        <v>5</v>
      </c>
      <c r="C231" s="19" t="s">
        <v>32</v>
      </c>
      <c r="D231" s="19" t="s">
        <v>12</v>
      </c>
      <c r="E231" s="19" t="s">
        <v>32</v>
      </c>
      <c r="F231" s="20">
        <v>5</v>
      </c>
      <c r="G231" s="19" t="s">
        <v>15</v>
      </c>
      <c r="H231" s="19" t="s">
        <v>239</v>
      </c>
      <c r="I231" s="20"/>
      <c r="J231" s="64">
        <f>J232</f>
        <v>0</v>
      </c>
      <c r="K231" s="64">
        <f t="shared" ref="K231:L231" si="107">K232</f>
        <v>0</v>
      </c>
      <c r="L231" s="64">
        <f t="shared" si="107"/>
        <v>0</v>
      </c>
      <c r="M231" s="180">
        <f t="shared" si="93"/>
        <v>0</v>
      </c>
    </row>
    <row r="232" spans="1:13" ht="31.2" hidden="1">
      <c r="A232" s="22" t="s">
        <v>22</v>
      </c>
      <c r="B232" s="19" t="s">
        <v>5</v>
      </c>
      <c r="C232" s="19" t="s">
        <v>32</v>
      </c>
      <c r="D232" s="19" t="s">
        <v>12</v>
      </c>
      <c r="E232" s="19" t="s">
        <v>32</v>
      </c>
      <c r="F232" s="20">
        <v>5</v>
      </c>
      <c r="G232" s="19" t="s">
        <v>15</v>
      </c>
      <c r="H232" s="19" t="s">
        <v>239</v>
      </c>
      <c r="I232" s="20">
        <v>240</v>
      </c>
      <c r="J232" s="64"/>
      <c r="K232" s="64"/>
      <c r="L232" s="64"/>
      <c r="M232" s="180">
        <f t="shared" si="93"/>
        <v>0</v>
      </c>
    </row>
    <row r="233" spans="1:13" ht="31.2" hidden="1">
      <c r="A233" s="22" t="s">
        <v>90</v>
      </c>
      <c r="B233" s="19" t="s">
        <v>5</v>
      </c>
      <c r="C233" s="19" t="s">
        <v>32</v>
      </c>
      <c r="D233" s="19" t="s">
        <v>12</v>
      </c>
      <c r="E233" s="19" t="s">
        <v>32</v>
      </c>
      <c r="F233" s="20">
        <v>5</v>
      </c>
      <c r="G233" s="19" t="s">
        <v>15</v>
      </c>
      <c r="H233" s="19" t="s">
        <v>240</v>
      </c>
      <c r="I233" s="20"/>
      <c r="J233" s="64">
        <f>J234</f>
        <v>0</v>
      </c>
      <c r="K233" s="64">
        <f t="shared" ref="K233:L233" si="108">K234</f>
        <v>0</v>
      </c>
      <c r="L233" s="64">
        <f t="shared" si="108"/>
        <v>0</v>
      </c>
      <c r="M233" s="180">
        <f t="shared" si="93"/>
        <v>0</v>
      </c>
    </row>
    <row r="234" spans="1:13" ht="31.2" hidden="1">
      <c r="A234" s="22" t="s">
        <v>22</v>
      </c>
      <c r="B234" s="19" t="s">
        <v>5</v>
      </c>
      <c r="C234" s="19" t="s">
        <v>32</v>
      </c>
      <c r="D234" s="19" t="s">
        <v>12</v>
      </c>
      <c r="E234" s="19" t="s">
        <v>32</v>
      </c>
      <c r="F234" s="20">
        <v>5</v>
      </c>
      <c r="G234" s="19" t="s">
        <v>15</v>
      </c>
      <c r="H234" s="19" t="s">
        <v>240</v>
      </c>
      <c r="I234" s="20">
        <v>240</v>
      </c>
      <c r="J234" s="64"/>
      <c r="K234" s="64"/>
      <c r="L234" s="64"/>
      <c r="M234" s="180">
        <f t="shared" si="93"/>
        <v>0</v>
      </c>
    </row>
    <row r="235" spans="1:13" ht="46.8">
      <c r="A235" s="22" t="s">
        <v>241</v>
      </c>
      <c r="B235" s="19" t="s">
        <v>5</v>
      </c>
      <c r="C235" s="19" t="s">
        <v>32</v>
      </c>
      <c r="D235" s="19" t="s">
        <v>12</v>
      </c>
      <c r="E235" s="19" t="s">
        <v>32</v>
      </c>
      <c r="F235" s="20">
        <v>6</v>
      </c>
      <c r="G235" s="19" t="s">
        <v>15</v>
      </c>
      <c r="H235" s="19" t="s">
        <v>16</v>
      </c>
      <c r="I235" s="20"/>
      <c r="J235" s="64">
        <f>J236</f>
        <v>11350000</v>
      </c>
      <c r="K235" s="64">
        <f t="shared" ref="K235:L236" si="109">K236</f>
        <v>11350000</v>
      </c>
      <c r="L235" s="64">
        <f t="shared" si="109"/>
        <v>11331000</v>
      </c>
      <c r="M235" s="180">
        <f t="shared" si="93"/>
        <v>19000</v>
      </c>
    </row>
    <row r="236" spans="1:13">
      <c r="A236" s="22" t="s">
        <v>242</v>
      </c>
      <c r="B236" s="19" t="s">
        <v>5</v>
      </c>
      <c r="C236" s="19" t="s">
        <v>32</v>
      </c>
      <c r="D236" s="19" t="s">
        <v>12</v>
      </c>
      <c r="E236" s="19" t="s">
        <v>32</v>
      </c>
      <c r="F236" s="20">
        <v>6</v>
      </c>
      <c r="G236" s="19" t="s">
        <v>15</v>
      </c>
      <c r="H236" s="19" t="s">
        <v>243</v>
      </c>
      <c r="I236" s="20"/>
      <c r="J236" s="64">
        <f>J237</f>
        <v>11350000</v>
      </c>
      <c r="K236" s="64">
        <f t="shared" si="109"/>
        <v>11350000</v>
      </c>
      <c r="L236" s="64">
        <f t="shared" si="109"/>
        <v>11331000</v>
      </c>
      <c r="M236" s="180">
        <f t="shared" si="93"/>
        <v>19000</v>
      </c>
    </row>
    <row r="237" spans="1:13">
      <c r="A237" s="22" t="s">
        <v>49</v>
      </c>
      <c r="B237" s="19" t="s">
        <v>5</v>
      </c>
      <c r="C237" s="19" t="s">
        <v>32</v>
      </c>
      <c r="D237" s="19" t="s">
        <v>12</v>
      </c>
      <c r="E237" s="19" t="s">
        <v>32</v>
      </c>
      <c r="F237" s="20">
        <v>6</v>
      </c>
      <c r="G237" s="19" t="s">
        <v>15</v>
      </c>
      <c r="H237" s="19" t="s">
        <v>243</v>
      </c>
      <c r="I237" s="20">
        <v>410</v>
      </c>
      <c r="J237" s="64">
        <f>14607394+387860-10457281.5+6812027.5</f>
        <v>11350000</v>
      </c>
      <c r="K237" s="64">
        <v>11350000</v>
      </c>
      <c r="L237" s="64">
        <v>11331000</v>
      </c>
      <c r="M237" s="180">
        <f t="shared" si="93"/>
        <v>19000</v>
      </c>
    </row>
    <row r="238" spans="1:13">
      <c r="A238" s="22" t="s">
        <v>27</v>
      </c>
      <c r="B238" s="19" t="s">
        <v>5</v>
      </c>
      <c r="C238" s="19" t="s">
        <v>32</v>
      </c>
      <c r="D238" s="20" t="s">
        <v>12</v>
      </c>
      <c r="E238" s="19" t="s">
        <v>28</v>
      </c>
      <c r="F238" s="20">
        <v>0</v>
      </c>
      <c r="G238" s="19" t="s">
        <v>15</v>
      </c>
      <c r="H238" s="19" t="s">
        <v>16</v>
      </c>
      <c r="I238" s="20"/>
      <c r="J238" s="64">
        <f>J239</f>
        <v>869695.64</v>
      </c>
      <c r="K238" s="64">
        <f t="shared" ref="K238:L240" si="110">K239</f>
        <v>869695.64</v>
      </c>
      <c r="L238" s="64">
        <f t="shared" si="110"/>
        <v>869695.64</v>
      </c>
      <c r="M238" s="180">
        <f t="shared" si="93"/>
        <v>0</v>
      </c>
    </row>
    <row r="239" spans="1:13">
      <c r="A239" s="22" t="s">
        <v>174</v>
      </c>
      <c r="B239" s="19" t="s">
        <v>5</v>
      </c>
      <c r="C239" s="19" t="s">
        <v>32</v>
      </c>
      <c r="D239" s="20" t="s">
        <v>12</v>
      </c>
      <c r="E239" s="19" t="s">
        <v>28</v>
      </c>
      <c r="F239" s="20">
        <v>9</v>
      </c>
      <c r="G239" s="19" t="s">
        <v>15</v>
      </c>
      <c r="H239" s="19" t="s">
        <v>16</v>
      </c>
      <c r="I239" s="20"/>
      <c r="J239" s="64">
        <f>J240</f>
        <v>869695.64</v>
      </c>
      <c r="K239" s="64">
        <f t="shared" si="110"/>
        <v>869695.64</v>
      </c>
      <c r="L239" s="64">
        <f t="shared" si="110"/>
        <v>869695.64</v>
      </c>
      <c r="M239" s="180">
        <f t="shared" si="93"/>
        <v>0</v>
      </c>
    </row>
    <row r="240" spans="1:13" ht="46.8">
      <c r="A240" s="22" t="s">
        <v>244</v>
      </c>
      <c r="B240" s="19" t="s">
        <v>5</v>
      </c>
      <c r="C240" s="19" t="s">
        <v>32</v>
      </c>
      <c r="D240" s="20" t="s">
        <v>12</v>
      </c>
      <c r="E240" s="19" t="s">
        <v>28</v>
      </c>
      <c r="F240" s="20">
        <v>9</v>
      </c>
      <c r="G240" s="19" t="s">
        <v>15</v>
      </c>
      <c r="H240" s="19" t="s">
        <v>245</v>
      </c>
      <c r="I240" s="20"/>
      <c r="J240" s="64">
        <f>J241</f>
        <v>869695.64</v>
      </c>
      <c r="K240" s="64">
        <f t="shared" si="110"/>
        <v>869695.64</v>
      </c>
      <c r="L240" s="64">
        <f t="shared" si="110"/>
        <v>869695.64</v>
      </c>
      <c r="M240" s="180">
        <f t="shared" si="93"/>
        <v>0</v>
      </c>
    </row>
    <row r="241" spans="1:13" ht="31.2">
      <c r="A241" s="22" t="s">
        <v>22</v>
      </c>
      <c r="B241" s="19" t="s">
        <v>5</v>
      </c>
      <c r="C241" s="19" t="s">
        <v>32</v>
      </c>
      <c r="D241" s="20" t="s">
        <v>12</v>
      </c>
      <c r="E241" s="19" t="s">
        <v>28</v>
      </c>
      <c r="F241" s="20">
        <v>9</v>
      </c>
      <c r="G241" s="19" t="s">
        <v>15</v>
      </c>
      <c r="H241" s="19" t="s">
        <v>245</v>
      </c>
      <c r="I241" s="20">
        <v>240</v>
      </c>
      <c r="J241" s="64">
        <f>1284879.44+170000-378201.47-206982.33</f>
        <v>869695.64</v>
      </c>
      <c r="K241" s="64">
        <v>869695.64</v>
      </c>
      <c r="L241" s="64">
        <v>869695.64</v>
      </c>
      <c r="M241" s="180">
        <f t="shared" si="93"/>
        <v>0</v>
      </c>
    </row>
    <row r="242" spans="1:13">
      <c r="A242" s="21" t="s">
        <v>71</v>
      </c>
      <c r="B242" s="19" t="s">
        <v>5</v>
      </c>
      <c r="C242" s="19" t="s">
        <v>32</v>
      </c>
      <c r="D242" s="19" t="s">
        <v>13</v>
      </c>
      <c r="E242" s="19"/>
      <c r="F242" s="20"/>
      <c r="G242" s="19"/>
      <c r="H242" s="19"/>
      <c r="I242" s="32"/>
      <c r="J242" s="64">
        <f>J244+J248</f>
        <v>689777.63</v>
      </c>
      <c r="K242" s="64">
        <f t="shared" ref="K242:L242" si="111">K244+K248</f>
        <v>689777.63</v>
      </c>
      <c r="L242" s="64">
        <f t="shared" si="111"/>
        <v>689777.63</v>
      </c>
      <c r="M242" s="180">
        <f t="shared" si="93"/>
        <v>0</v>
      </c>
    </row>
    <row r="243" spans="1:13" ht="62.4">
      <c r="A243" s="22" t="s">
        <v>232</v>
      </c>
      <c r="B243" s="70" t="s">
        <v>5</v>
      </c>
      <c r="C243" s="70" t="s">
        <v>32</v>
      </c>
      <c r="D243" s="70" t="s">
        <v>13</v>
      </c>
      <c r="E243" s="70" t="s">
        <v>32</v>
      </c>
      <c r="F243" s="71">
        <v>0</v>
      </c>
      <c r="G243" s="70" t="s">
        <v>15</v>
      </c>
      <c r="H243" s="70" t="s">
        <v>16</v>
      </c>
      <c r="I243" s="71"/>
      <c r="J243" s="64">
        <f>J244</f>
        <v>641036.75</v>
      </c>
      <c r="K243" s="64">
        <f t="shared" ref="K243:L244" si="112">K244</f>
        <v>641036.75</v>
      </c>
      <c r="L243" s="64">
        <f t="shared" si="112"/>
        <v>641036.75</v>
      </c>
      <c r="M243" s="180">
        <f t="shared" si="93"/>
        <v>0</v>
      </c>
    </row>
    <row r="244" spans="1:13">
      <c r="A244" s="22" t="s">
        <v>384</v>
      </c>
      <c r="B244" s="19" t="s">
        <v>5</v>
      </c>
      <c r="C244" s="19" t="s">
        <v>32</v>
      </c>
      <c r="D244" s="19" t="s">
        <v>13</v>
      </c>
      <c r="E244" s="19" t="s">
        <v>32</v>
      </c>
      <c r="F244" s="20">
        <v>4</v>
      </c>
      <c r="G244" s="19" t="s">
        <v>15</v>
      </c>
      <c r="H244" s="19" t="s">
        <v>16</v>
      </c>
      <c r="I244" s="32"/>
      <c r="J244" s="64">
        <f>J245</f>
        <v>641036.75</v>
      </c>
      <c r="K244" s="64">
        <f t="shared" si="112"/>
        <v>641036.75</v>
      </c>
      <c r="L244" s="64">
        <f t="shared" si="112"/>
        <v>641036.75</v>
      </c>
      <c r="M244" s="180">
        <f t="shared" si="93"/>
        <v>0</v>
      </c>
    </row>
    <row r="245" spans="1:13">
      <c r="A245" s="21" t="s">
        <v>391</v>
      </c>
      <c r="B245" s="19" t="s">
        <v>5</v>
      </c>
      <c r="C245" s="19" t="s">
        <v>32</v>
      </c>
      <c r="D245" s="19" t="s">
        <v>13</v>
      </c>
      <c r="E245" s="19" t="s">
        <v>32</v>
      </c>
      <c r="F245" s="20">
        <v>4</v>
      </c>
      <c r="G245" s="19" t="s">
        <v>15</v>
      </c>
      <c r="H245" s="19" t="s">
        <v>390</v>
      </c>
      <c r="I245" s="32"/>
      <c r="J245" s="64">
        <f>SUM(J246:J247)</f>
        <v>641036.75</v>
      </c>
      <c r="K245" s="64">
        <f t="shared" ref="K245:L245" si="113">SUM(K246:K247)</f>
        <v>641036.75</v>
      </c>
      <c r="L245" s="64">
        <f t="shared" si="113"/>
        <v>641036.75</v>
      </c>
      <c r="M245" s="180">
        <f t="shared" si="93"/>
        <v>0</v>
      </c>
    </row>
    <row r="246" spans="1:13" hidden="1">
      <c r="A246" s="22" t="s">
        <v>49</v>
      </c>
      <c r="B246" s="19" t="s">
        <v>5</v>
      </c>
      <c r="C246" s="19" t="s">
        <v>32</v>
      </c>
      <c r="D246" s="19" t="s">
        <v>13</v>
      </c>
      <c r="E246" s="19" t="s">
        <v>32</v>
      </c>
      <c r="F246" s="20">
        <v>4</v>
      </c>
      <c r="G246" s="19" t="s">
        <v>15</v>
      </c>
      <c r="H246" s="33">
        <v>29350</v>
      </c>
      <c r="I246" s="33">
        <v>410</v>
      </c>
      <c r="J246" s="64">
        <f>6314375.42-2737000-641036.75-2936338.67</f>
        <v>0</v>
      </c>
      <c r="K246" s="64">
        <f t="shared" ref="K246:L246" si="114">6314375.42-2737000-641036.75-2936338.67</f>
        <v>0</v>
      </c>
      <c r="L246" s="64">
        <f t="shared" si="114"/>
        <v>0</v>
      </c>
      <c r="M246" s="180">
        <f t="shared" si="93"/>
        <v>0</v>
      </c>
    </row>
    <row r="247" spans="1:13" ht="31.2">
      <c r="A247" s="22" t="s">
        <v>22</v>
      </c>
      <c r="B247" s="75" t="s">
        <v>5</v>
      </c>
      <c r="C247" s="75" t="s">
        <v>32</v>
      </c>
      <c r="D247" s="75" t="s">
        <v>13</v>
      </c>
      <c r="E247" s="75" t="s">
        <v>32</v>
      </c>
      <c r="F247" s="76">
        <v>4</v>
      </c>
      <c r="G247" s="75" t="s">
        <v>15</v>
      </c>
      <c r="H247" s="33">
        <v>29350</v>
      </c>
      <c r="I247" s="33">
        <v>240</v>
      </c>
      <c r="J247" s="64">
        <v>641036.75</v>
      </c>
      <c r="K247" s="64">
        <v>641036.75</v>
      </c>
      <c r="L247" s="64">
        <v>641036.75</v>
      </c>
      <c r="M247" s="180">
        <f t="shared" si="93"/>
        <v>0</v>
      </c>
    </row>
    <row r="248" spans="1:13">
      <c r="A248" s="21" t="s">
        <v>41</v>
      </c>
      <c r="B248" s="80">
        <v>871</v>
      </c>
      <c r="C248" s="79" t="s">
        <v>32</v>
      </c>
      <c r="D248" s="79" t="s">
        <v>13</v>
      </c>
      <c r="E248" s="79">
        <v>94</v>
      </c>
      <c r="F248" s="80">
        <v>0</v>
      </c>
      <c r="G248" s="79" t="s">
        <v>15</v>
      </c>
      <c r="H248" s="79" t="s">
        <v>16</v>
      </c>
      <c r="I248" s="33"/>
      <c r="J248" s="64">
        <f>J249</f>
        <v>48740.88</v>
      </c>
      <c r="K248" s="64">
        <f t="shared" ref="K248:L250" si="115">K249</f>
        <v>48740.88</v>
      </c>
      <c r="L248" s="64">
        <f t="shared" si="115"/>
        <v>48740.88</v>
      </c>
      <c r="M248" s="180">
        <f t="shared" si="93"/>
        <v>0</v>
      </c>
    </row>
    <row r="249" spans="1:13">
      <c r="A249" s="21" t="s">
        <v>128</v>
      </c>
      <c r="B249" s="80">
        <v>871</v>
      </c>
      <c r="C249" s="79" t="s">
        <v>32</v>
      </c>
      <c r="D249" s="79" t="s">
        <v>13</v>
      </c>
      <c r="E249" s="79">
        <v>94</v>
      </c>
      <c r="F249" s="80">
        <v>1</v>
      </c>
      <c r="G249" s="79" t="s">
        <v>15</v>
      </c>
      <c r="H249" s="79" t="s">
        <v>16</v>
      </c>
      <c r="I249" s="33"/>
      <c r="J249" s="64">
        <f>J250</f>
        <v>48740.88</v>
      </c>
      <c r="K249" s="64">
        <f t="shared" si="115"/>
        <v>48740.88</v>
      </c>
      <c r="L249" s="64">
        <f t="shared" si="115"/>
        <v>48740.88</v>
      </c>
      <c r="M249" s="180">
        <f t="shared" si="93"/>
        <v>0</v>
      </c>
    </row>
    <row r="250" spans="1:13">
      <c r="A250" s="21" t="s">
        <v>128</v>
      </c>
      <c r="B250" s="80">
        <v>871</v>
      </c>
      <c r="C250" s="79" t="s">
        <v>32</v>
      </c>
      <c r="D250" s="79" t="s">
        <v>13</v>
      </c>
      <c r="E250" s="79">
        <v>94</v>
      </c>
      <c r="F250" s="80">
        <v>1</v>
      </c>
      <c r="G250" s="79" t="s">
        <v>15</v>
      </c>
      <c r="H250" s="79" t="s">
        <v>129</v>
      </c>
      <c r="I250" s="33"/>
      <c r="J250" s="64">
        <f>J251</f>
        <v>48740.88</v>
      </c>
      <c r="K250" s="64">
        <f t="shared" si="115"/>
        <v>48740.88</v>
      </c>
      <c r="L250" s="64">
        <f t="shared" si="115"/>
        <v>48740.88</v>
      </c>
      <c r="M250" s="180">
        <f t="shared" si="93"/>
        <v>0</v>
      </c>
    </row>
    <row r="251" spans="1:13" ht="31.2">
      <c r="A251" s="22" t="s">
        <v>22</v>
      </c>
      <c r="B251" s="80">
        <v>871</v>
      </c>
      <c r="C251" s="79" t="s">
        <v>32</v>
      </c>
      <c r="D251" s="79" t="s">
        <v>13</v>
      </c>
      <c r="E251" s="79">
        <v>94</v>
      </c>
      <c r="F251" s="80">
        <v>1</v>
      </c>
      <c r="G251" s="79" t="s">
        <v>15</v>
      </c>
      <c r="H251" s="79" t="s">
        <v>129</v>
      </c>
      <c r="I251" s="33">
        <v>240</v>
      </c>
      <c r="J251" s="64">
        <f>48740.88</f>
        <v>48740.88</v>
      </c>
      <c r="K251" s="64">
        <v>48740.88</v>
      </c>
      <c r="L251" s="64">
        <v>48740.88</v>
      </c>
      <c r="M251" s="180">
        <f t="shared" si="93"/>
        <v>0</v>
      </c>
    </row>
    <row r="252" spans="1:13">
      <c r="A252" s="21" t="s">
        <v>72</v>
      </c>
      <c r="B252" s="19" t="s">
        <v>5</v>
      </c>
      <c r="C252" s="19" t="s">
        <v>32</v>
      </c>
      <c r="D252" s="20" t="s">
        <v>19</v>
      </c>
      <c r="E252" s="19" t="s">
        <v>93</v>
      </c>
      <c r="F252" s="20"/>
      <c r="G252" s="19"/>
      <c r="H252" s="19"/>
      <c r="I252" s="20"/>
      <c r="J252" s="63">
        <f>J253+J288+J299</f>
        <v>33429962.34</v>
      </c>
      <c r="K252" s="63">
        <f t="shared" ref="K252:L252" si="116">K253+K288+K299</f>
        <v>33429962.340000007</v>
      </c>
      <c r="L252" s="63">
        <f t="shared" si="116"/>
        <v>30675895.75</v>
      </c>
      <c r="M252" s="180">
        <f t="shared" si="93"/>
        <v>2754066.59</v>
      </c>
    </row>
    <row r="253" spans="1:13" ht="62.4">
      <c r="A253" s="21" t="s">
        <v>209</v>
      </c>
      <c r="B253" s="19" t="s">
        <v>5</v>
      </c>
      <c r="C253" s="19" t="s">
        <v>32</v>
      </c>
      <c r="D253" s="19" t="s">
        <v>19</v>
      </c>
      <c r="E253" s="19" t="s">
        <v>19</v>
      </c>
      <c r="F253" s="20">
        <v>0</v>
      </c>
      <c r="G253" s="19" t="s">
        <v>15</v>
      </c>
      <c r="H253" s="19" t="s">
        <v>16</v>
      </c>
      <c r="I253" s="20"/>
      <c r="J253" s="64">
        <f>J254+J261</f>
        <v>33200468.959999997</v>
      </c>
      <c r="K253" s="64">
        <f t="shared" ref="K253:L253" si="117">K254+K261</f>
        <v>33200468.960000005</v>
      </c>
      <c r="L253" s="64">
        <f t="shared" si="117"/>
        <v>30446402.379999999</v>
      </c>
      <c r="M253" s="180">
        <f t="shared" si="93"/>
        <v>2754066.5799999982</v>
      </c>
    </row>
    <row r="254" spans="1:13" ht="31.2">
      <c r="A254" s="22" t="s">
        <v>246</v>
      </c>
      <c r="B254" s="19" t="s">
        <v>5</v>
      </c>
      <c r="C254" s="19" t="s">
        <v>32</v>
      </c>
      <c r="D254" s="19" t="s">
        <v>19</v>
      </c>
      <c r="E254" s="19" t="s">
        <v>19</v>
      </c>
      <c r="F254" s="20">
        <v>2</v>
      </c>
      <c r="G254" s="19" t="s">
        <v>15</v>
      </c>
      <c r="H254" s="19" t="s">
        <v>16</v>
      </c>
      <c r="I254" s="20"/>
      <c r="J254" s="64">
        <f>J255+J257+J259</f>
        <v>8550000</v>
      </c>
      <c r="K254" s="64">
        <f t="shared" ref="K254:L254" si="118">K255+K257+K259</f>
        <v>8362269.1600000001</v>
      </c>
      <c r="L254" s="64">
        <f t="shared" si="118"/>
        <v>8122115.7199999997</v>
      </c>
      <c r="M254" s="180">
        <f t="shared" si="93"/>
        <v>427884.28000000026</v>
      </c>
    </row>
    <row r="255" spans="1:13" hidden="1">
      <c r="A255" s="22" t="s">
        <v>247</v>
      </c>
      <c r="B255" s="19" t="s">
        <v>5</v>
      </c>
      <c r="C255" s="19" t="s">
        <v>32</v>
      </c>
      <c r="D255" s="19" t="s">
        <v>19</v>
      </c>
      <c r="E255" s="19" t="s">
        <v>19</v>
      </c>
      <c r="F255" s="20">
        <v>2</v>
      </c>
      <c r="G255" s="19" t="s">
        <v>15</v>
      </c>
      <c r="H255" s="19" t="s">
        <v>238</v>
      </c>
      <c r="I255" s="20"/>
      <c r="J255" s="64">
        <f>J256</f>
        <v>0</v>
      </c>
      <c r="K255" s="64">
        <f t="shared" ref="K255:L255" si="119">K256</f>
        <v>0</v>
      </c>
      <c r="L255" s="64">
        <f t="shared" si="119"/>
        <v>0</v>
      </c>
      <c r="M255" s="180">
        <f t="shared" si="93"/>
        <v>0</v>
      </c>
    </row>
    <row r="256" spans="1:13" hidden="1">
      <c r="A256" s="22" t="s">
        <v>49</v>
      </c>
      <c r="B256" s="19" t="s">
        <v>5</v>
      </c>
      <c r="C256" s="19" t="s">
        <v>32</v>
      </c>
      <c r="D256" s="19" t="s">
        <v>19</v>
      </c>
      <c r="E256" s="19" t="s">
        <v>19</v>
      </c>
      <c r="F256" s="20">
        <v>2</v>
      </c>
      <c r="G256" s="19" t="s">
        <v>15</v>
      </c>
      <c r="H256" s="19" t="s">
        <v>238</v>
      </c>
      <c r="I256" s="20">
        <v>410</v>
      </c>
      <c r="J256" s="64"/>
      <c r="K256" s="64"/>
      <c r="L256" s="64"/>
      <c r="M256" s="180">
        <f t="shared" si="93"/>
        <v>0</v>
      </c>
    </row>
    <row r="257" spans="1:13" ht="31.2">
      <c r="A257" s="22" t="s">
        <v>248</v>
      </c>
      <c r="B257" s="19" t="s">
        <v>5</v>
      </c>
      <c r="C257" s="19" t="s">
        <v>32</v>
      </c>
      <c r="D257" s="19" t="s">
        <v>19</v>
      </c>
      <c r="E257" s="19" t="s">
        <v>19</v>
      </c>
      <c r="F257" s="20">
        <v>2</v>
      </c>
      <c r="G257" s="19" t="s">
        <v>15</v>
      </c>
      <c r="H257" s="19" t="s">
        <v>249</v>
      </c>
      <c r="I257" s="20"/>
      <c r="J257" s="64">
        <f>J258</f>
        <v>6650000</v>
      </c>
      <c r="K257" s="64">
        <f t="shared" ref="K257:L257" si="120">K258</f>
        <v>6462269.1600000001</v>
      </c>
      <c r="L257" s="64">
        <f t="shared" si="120"/>
        <v>6222115.7199999997</v>
      </c>
      <c r="M257" s="180">
        <f t="shared" si="93"/>
        <v>427884.28000000026</v>
      </c>
    </row>
    <row r="258" spans="1:13" ht="31.2">
      <c r="A258" s="22" t="s">
        <v>22</v>
      </c>
      <c r="B258" s="19" t="s">
        <v>5</v>
      </c>
      <c r="C258" s="19" t="s">
        <v>32</v>
      </c>
      <c r="D258" s="19" t="s">
        <v>19</v>
      </c>
      <c r="E258" s="19" t="s">
        <v>19</v>
      </c>
      <c r="F258" s="20">
        <v>2</v>
      </c>
      <c r="G258" s="19" t="s">
        <v>15</v>
      </c>
      <c r="H258" s="19" t="s">
        <v>249</v>
      </c>
      <c r="I258" s="20">
        <v>240</v>
      </c>
      <c r="J258" s="64">
        <f>6640668+359332-350000</f>
        <v>6650000</v>
      </c>
      <c r="K258" s="64">
        <v>6462269.1600000001</v>
      </c>
      <c r="L258" s="64">
        <v>6222115.7199999997</v>
      </c>
      <c r="M258" s="180">
        <f t="shared" si="93"/>
        <v>427884.28000000026</v>
      </c>
    </row>
    <row r="259" spans="1:13" ht="31.2">
      <c r="A259" s="22" t="s">
        <v>250</v>
      </c>
      <c r="B259" s="19" t="s">
        <v>5</v>
      </c>
      <c r="C259" s="19" t="s">
        <v>32</v>
      </c>
      <c r="D259" s="19" t="s">
        <v>19</v>
      </c>
      <c r="E259" s="19" t="s">
        <v>19</v>
      </c>
      <c r="F259" s="20">
        <v>2</v>
      </c>
      <c r="G259" s="19" t="s">
        <v>15</v>
      </c>
      <c r="H259" s="19" t="s">
        <v>251</v>
      </c>
      <c r="I259" s="20"/>
      <c r="J259" s="64">
        <f>J260</f>
        <v>1900000</v>
      </c>
      <c r="K259" s="64">
        <f t="shared" ref="K259:L259" si="121">K260</f>
        <v>1900000</v>
      </c>
      <c r="L259" s="64">
        <f t="shared" si="121"/>
        <v>1900000</v>
      </c>
      <c r="M259" s="180">
        <f t="shared" si="93"/>
        <v>0</v>
      </c>
    </row>
    <row r="260" spans="1:13" ht="31.2">
      <c r="A260" s="22" t="s">
        <v>22</v>
      </c>
      <c r="B260" s="19" t="s">
        <v>5</v>
      </c>
      <c r="C260" s="19" t="s">
        <v>32</v>
      </c>
      <c r="D260" s="19" t="s">
        <v>19</v>
      </c>
      <c r="E260" s="19" t="s">
        <v>19</v>
      </c>
      <c r="F260" s="20">
        <v>2</v>
      </c>
      <c r="G260" s="19" t="s">
        <v>15</v>
      </c>
      <c r="H260" s="19" t="s">
        <v>251</v>
      </c>
      <c r="I260" s="20">
        <v>240</v>
      </c>
      <c r="J260" s="64">
        <f>1500000+400000</f>
        <v>1900000</v>
      </c>
      <c r="K260" s="64">
        <v>1900000</v>
      </c>
      <c r="L260" s="64">
        <v>1900000</v>
      </c>
      <c r="M260" s="180">
        <f t="shared" si="93"/>
        <v>0</v>
      </c>
    </row>
    <row r="261" spans="1:13" ht="46.8">
      <c r="A261" s="22" t="s">
        <v>252</v>
      </c>
      <c r="B261" s="19" t="s">
        <v>5</v>
      </c>
      <c r="C261" s="19" t="s">
        <v>32</v>
      </c>
      <c r="D261" s="19" t="s">
        <v>19</v>
      </c>
      <c r="E261" s="19" t="s">
        <v>19</v>
      </c>
      <c r="F261" s="20">
        <v>3</v>
      </c>
      <c r="G261" s="19" t="s">
        <v>15</v>
      </c>
      <c r="H261" s="19" t="s">
        <v>16</v>
      </c>
      <c r="I261" s="20"/>
      <c r="J261" s="64">
        <f>J262+J265+J267+J269+J272+J274+J276+J278+J280+J282+J284+J286</f>
        <v>24650468.959999997</v>
      </c>
      <c r="K261" s="64">
        <f t="shared" ref="K261:L261" si="122">K262+K265+K267+K269+K272+K274+K276+K278+K280+K282+K284+K286</f>
        <v>24838199.800000004</v>
      </c>
      <c r="L261" s="64">
        <f t="shared" si="122"/>
        <v>22324286.66</v>
      </c>
      <c r="M261" s="180">
        <f t="shared" si="93"/>
        <v>2326182.299999997</v>
      </c>
    </row>
    <row r="262" spans="1:13">
      <c r="A262" s="22" t="s">
        <v>253</v>
      </c>
      <c r="B262" s="19" t="s">
        <v>5</v>
      </c>
      <c r="C262" s="19" t="s">
        <v>32</v>
      </c>
      <c r="D262" s="19" t="s">
        <v>19</v>
      </c>
      <c r="E262" s="19" t="s">
        <v>19</v>
      </c>
      <c r="F262" s="20">
        <v>3</v>
      </c>
      <c r="G262" s="19" t="s">
        <v>15</v>
      </c>
      <c r="H262" s="19" t="s">
        <v>254</v>
      </c>
      <c r="I262" s="20"/>
      <c r="J262" s="64">
        <f>SUM(J263:J264)</f>
        <v>356000</v>
      </c>
      <c r="K262" s="64">
        <f t="shared" ref="K262:L262" si="123">SUM(K263:K264)</f>
        <v>356000</v>
      </c>
      <c r="L262" s="64">
        <f t="shared" si="123"/>
        <v>356000</v>
      </c>
      <c r="M262" s="180">
        <f t="shared" si="93"/>
        <v>0</v>
      </c>
    </row>
    <row r="263" spans="1:13" ht="31.2">
      <c r="A263" s="22" t="s">
        <v>22</v>
      </c>
      <c r="B263" s="19" t="s">
        <v>5</v>
      </c>
      <c r="C263" s="19" t="s">
        <v>32</v>
      </c>
      <c r="D263" s="19" t="s">
        <v>19</v>
      </c>
      <c r="E263" s="19" t="s">
        <v>19</v>
      </c>
      <c r="F263" s="20">
        <v>3</v>
      </c>
      <c r="G263" s="19" t="s">
        <v>15</v>
      </c>
      <c r="H263" s="19" t="s">
        <v>254</v>
      </c>
      <c r="I263" s="20">
        <v>240</v>
      </c>
      <c r="J263" s="64">
        <f>700000-200000-214000+100000-30000</f>
        <v>356000</v>
      </c>
      <c r="K263" s="64">
        <v>356000</v>
      </c>
      <c r="L263" s="64">
        <v>356000</v>
      </c>
      <c r="M263" s="180">
        <f t="shared" si="93"/>
        <v>0</v>
      </c>
    </row>
    <row r="264" spans="1:13" hidden="1">
      <c r="A264" s="22" t="s">
        <v>39</v>
      </c>
      <c r="B264" s="19" t="s">
        <v>5</v>
      </c>
      <c r="C264" s="19" t="s">
        <v>32</v>
      </c>
      <c r="D264" s="19" t="s">
        <v>19</v>
      </c>
      <c r="E264" s="19" t="s">
        <v>19</v>
      </c>
      <c r="F264" s="20">
        <v>3</v>
      </c>
      <c r="G264" s="19" t="s">
        <v>15</v>
      </c>
      <c r="H264" s="19" t="s">
        <v>254</v>
      </c>
      <c r="I264" s="20">
        <v>350</v>
      </c>
      <c r="J264" s="64"/>
      <c r="K264" s="64"/>
      <c r="L264" s="64"/>
      <c r="M264" s="180">
        <f t="shared" si="93"/>
        <v>0</v>
      </c>
    </row>
    <row r="265" spans="1:13">
      <c r="A265" s="22" t="s">
        <v>255</v>
      </c>
      <c r="B265" s="19" t="s">
        <v>5</v>
      </c>
      <c r="C265" s="19" t="s">
        <v>32</v>
      </c>
      <c r="D265" s="19" t="s">
        <v>19</v>
      </c>
      <c r="E265" s="19" t="s">
        <v>19</v>
      </c>
      <c r="F265" s="20">
        <v>3</v>
      </c>
      <c r="G265" s="19" t="s">
        <v>15</v>
      </c>
      <c r="H265" s="19" t="s">
        <v>256</v>
      </c>
      <c r="I265" s="20"/>
      <c r="J265" s="64">
        <f>J266</f>
        <v>444722.22</v>
      </c>
      <c r="K265" s="64">
        <f t="shared" ref="K265:L265" si="124">K266</f>
        <v>444722.22</v>
      </c>
      <c r="L265" s="64">
        <f t="shared" si="124"/>
        <v>444722.22</v>
      </c>
      <c r="M265" s="180">
        <f t="shared" si="93"/>
        <v>0</v>
      </c>
    </row>
    <row r="266" spans="1:13" ht="31.2">
      <c r="A266" s="22" t="s">
        <v>22</v>
      </c>
      <c r="B266" s="19" t="s">
        <v>5</v>
      </c>
      <c r="C266" s="19" t="s">
        <v>32</v>
      </c>
      <c r="D266" s="19" t="s">
        <v>19</v>
      </c>
      <c r="E266" s="19" t="s">
        <v>19</v>
      </c>
      <c r="F266" s="20">
        <v>3</v>
      </c>
      <c r="G266" s="19" t="s">
        <v>15</v>
      </c>
      <c r="H266" s="19" t="s">
        <v>256</v>
      </c>
      <c r="I266" s="20">
        <v>240</v>
      </c>
      <c r="J266" s="64">
        <f>600000+200000-115000-153284.04-86993.74</f>
        <v>444722.22</v>
      </c>
      <c r="K266" s="64">
        <v>444722.22</v>
      </c>
      <c r="L266" s="64">
        <v>444722.22</v>
      </c>
      <c r="M266" s="180">
        <f t="shared" si="93"/>
        <v>0</v>
      </c>
    </row>
    <row r="267" spans="1:13">
      <c r="A267" s="22" t="s">
        <v>257</v>
      </c>
      <c r="B267" s="19" t="s">
        <v>5</v>
      </c>
      <c r="C267" s="19" t="s">
        <v>32</v>
      </c>
      <c r="D267" s="19" t="s">
        <v>19</v>
      </c>
      <c r="E267" s="19" t="s">
        <v>19</v>
      </c>
      <c r="F267" s="20">
        <v>3</v>
      </c>
      <c r="G267" s="19" t="s">
        <v>15</v>
      </c>
      <c r="H267" s="20">
        <v>29220</v>
      </c>
      <c r="I267" s="20"/>
      <c r="J267" s="64">
        <f>J268</f>
        <v>1418117.81</v>
      </c>
      <c r="K267" s="64">
        <f t="shared" ref="K267:L267" si="125">K268</f>
        <v>1418117.81</v>
      </c>
      <c r="L267" s="64">
        <f t="shared" si="125"/>
        <v>1342970.77</v>
      </c>
      <c r="M267" s="180">
        <f t="shared" si="93"/>
        <v>75147.040000000037</v>
      </c>
    </row>
    <row r="268" spans="1:13" ht="31.2">
      <c r="A268" s="22" t="s">
        <v>22</v>
      </c>
      <c r="B268" s="19" t="s">
        <v>5</v>
      </c>
      <c r="C268" s="19" t="s">
        <v>32</v>
      </c>
      <c r="D268" s="19" t="s">
        <v>19</v>
      </c>
      <c r="E268" s="19" t="s">
        <v>19</v>
      </c>
      <c r="F268" s="20">
        <v>3</v>
      </c>
      <c r="G268" s="19" t="s">
        <v>15</v>
      </c>
      <c r="H268" s="20">
        <v>29220</v>
      </c>
      <c r="I268" s="20">
        <v>240</v>
      </c>
      <c r="J268" s="64">
        <f>2028005-503150.86-21849-84887.33</f>
        <v>1418117.81</v>
      </c>
      <c r="K268" s="64">
        <v>1418117.81</v>
      </c>
      <c r="L268" s="64">
        <v>1342970.77</v>
      </c>
      <c r="M268" s="180">
        <f t="shared" si="93"/>
        <v>75147.040000000037</v>
      </c>
    </row>
    <row r="269" spans="1:13">
      <c r="A269" s="22" t="s">
        <v>258</v>
      </c>
      <c r="B269" s="20">
        <v>871</v>
      </c>
      <c r="C269" s="19" t="s">
        <v>32</v>
      </c>
      <c r="D269" s="19" t="s">
        <v>19</v>
      </c>
      <c r="E269" s="19" t="s">
        <v>19</v>
      </c>
      <c r="F269" s="20">
        <v>3</v>
      </c>
      <c r="G269" s="19" t="s">
        <v>15</v>
      </c>
      <c r="H269" s="19" t="s">
        <v>259</v>
      </c>
      <c r="I269" s="20"/>
      <c r="J269" s="64">
        <f>SUM(J270:J271)</f>
        <v>11879724.359999996</v>
      </c>
      <c r="K269" s="64">
        <f t="shared" ref="K269:L269" si="126">SUM(K270:K271)</f>
        <v>11669456.119999999</v>
      </c>
      <c r="L269" s="64">
        <f t="shared" si="126"/>
        <v>11085053.59</v>
      </c>
      <c r="M269" s="180">
        <f t="shared" ref="M269:M332" si="127">J269-L269</f>
        <v>794670.76999999583</v>
      </c>
    </row>
    <row r="270" spans="1:13" ht="31.2">
      <c r="A270" s="22" t="s">
        <v>22</v>
      </c>
      <c r="B270" s="20">
        <v>871</v>
      </c>
      <c r="C270" s="19" t="s">
        <v>32</v>
      </c>
      <c r="D270" s="19" t="s">
        <v>19</v>
      </c>
      <c r="E270" s="19" t="s">
        <v>19</v>
      </c>
      <c r="F270" s="20">
        <v>3</v>
      </c>
      <c r="G270" s="19" t="s">
        <v>15</v>
      </c>
      <c r="H270" s="19" t="s">
        <v>259</v>
      </c>
      <c r="I270" s="20">
        <v>240</v>
      </c>
      <c r="J270" s="64">
        <f>9519582.12-54874.63+259286.7+132393.04-1034199.9-500000-3000+3300000-167380.39+4810245.95-300000-4582328.53</f>
        <v>11379724.359999996</v>
      </c>
      <c r="K270" s="64">
        <v>11169456.119999999</v>
      </c>
      <c r="L270" s="64">
        <v>10585053.59</v>
      </c>
      <c r="M270" s="180">
        <f t="shared" si="127"/>
        <v>794670.76999999583</v>
      </c>
    </row>
    <row r="271" spans="1:13">
      <c r="A271" s="22" t="s">
        <v>39</v>
      </c>
      <c r="B271" s="76">
        <v>871</v>
      </c>
      <c r="C271" s="75" t="s">
        <v>32</v>
      </c>
      <c r="D271" s="75" t="s">
        <v>19</v>
      </c>
      <c r="E271" s="75" t="s">
        <v>19</v>
      </c>
      <c r="F271" s="76">
        <v>3</v>
      </c>
      <c r="G271" s="75" t="s">
        <v>15</v>
      </c>
      <c r="H271" s="75" t="s">
        <v>259</v>
      </c>
      <c r="I271" s="76">
        <v>350</v>
      </c>
      <c r="J271" s="64">
        <v>500000</v>
      </c>
      <c r="K271" s="64">
        <v>500000</v>
      </c>
      <c r="L271" s="64">
        <v>500000</v>
      </c>
      <c r="M271" s="180">
        <f t="shared" si="127"/>
        <v>0</v>
      </c>
    </row>
    <row r="272" spans="1:13" hidden="1">
      <c r="A272" s="22" t="s">
        <v>260</v>
      </c>
      <c r="B272" s="20">
        <v>871</v>
      </c>
      <c r="C272" s="19" t="s">
        <v>32</v>
      </c>
      <c r="D272" s="19" t="s">
        <v>19</v>
      </c>
      <c r="E272" s="19" t="s">
        <v>19</v>
      </c>
      <c r="F272" s="20">
        <v>3</v>
      </c>
      <c r="G272" s="19" t="s">
        <v>15</v>
      </c>
      <c r="H272" s="20">
        <v>29470</v>
      </c>
      <c r="I272" s="20"/>
      <c r="J272" s="64">
        <f>J273</f>
        <v>0</v>
      </c>
      <c r="K272" s="64">
        <f t="shared" ref="K272:L272" si="128">K273</f>
        <v>0</v>
      </c>
      <c r="L272" s="64">
        <f t="shared" si="128"/>
        <v>0</v>
      </c>
      <c r="M272" s="180">
        <f t="shared" si="127"/>
        <v>0</v>
      </c>
    </row>
    <row r="273" spans="1:13" ht="31.2" hidden="1">
      <c r="A273" s="22" t="s">
        <v>22</v>
      </c>
      <c r="B273" s="20">
        <v>871</v>
      </c>
      <c r="C273" s="19" t="s">
        <v>32</v>
      </c>
      <c r="D273" s="19" t="s">
        <v>19</v>
      </c>
      <c r="E273" s="19" t="s">
        <v>19</v>
      </c>
      <c r="F273" s="20">
        <v>3</v>
      </c>
      <c r="G273" s="19" t="s">
        <v>15</v>
      </c>
      <c r="H273" s="20">
        <v>29470</v>
      </c>
      <c r="I273" s="20">
        <v>240</v>
      </c>
      <c r="J273" s="64"/>
      <c r="K273" s="64"/>
      <c r="L273" s="64"/>
      <c r="M273" s="180">
        <f t="shared" si="127"/>
        <v>0</v>
      </c>
    </row>
    <row r="274" spans="1:13" hidden="1">
      <c r="A274" s="22" t="s">
        <v>261</v>
      </c>
      <c r="B274" s="20">
        <v>871</v>
      </c>
      <c r="C274" s="19" t="s">
        <v>32</v>
      </c>
      <c r="D274" s="19" t="s">
        <v>19</v>
      </c>
      <c r="E274" s="19" t="s">
        <v>19</v>
      </c>
      <c r="F274" s="20">
        <v>3</v>
      </c>
      <c r="G274" s="19" t="s">
        <v>15</v>
      </c>
      <c r="H274" s="20">
        <v>29490</v>
      </c>
      <c r="I274" s="20"/>
      <c r="J274" s="64">
        <f>J275</f>
        <v>0</v>
      </c>
      <c r="K274" s="64">
        <f t="shared" ref="K274:L274" si="129">K275</f>
        <v>0</v>
      </c>
      <c r="L274" s="64">
        <f t="shared" si="129"/>
        <v>0</v>
      </c>
      <c r="M274" s="180">
        <f t="shared" si="127"/>
        <v>0</v>
      </c>
    </row>
    <row r="275" spans="1:13" ht="31.2" hidden="1">
      <c r="A275" s="22" t="s">
        <v>22</v>
      </c>
      <c r="B275" s="20">
        <v>871</v>
      </c>
      <c r="C275" s="19" t="s">
        <v>32</v>
      </c>
      <c r="D275" s="19" t="s">
        <v>19</v>
      </c>
      <c r="E275" s="19" t="s">
        <v>19</v>
      </c>
      <c r="F275" s="20">
        <v>3</v>
      </c>
      <c r="G275" s="19" t="s">
        <v>15</v>
      </c>
      <c r="H275" s="20">
        <v>29490</v>
      </c>
      <c r="I275" s="20">
        <v>240</v>
      </c>
      <c r="J275" s="64"/>
      <c r="K275" s="64"/>
      <c r="L275" s="64"/>
      <c r="M275" s="180">
        <f t="shared" si="127"/>
        <v>0</v>
      </c>
    </row>
    <row r="276" spans="1:13">
      <c r="A276" s="22" t="s">
        <v>262</v>
      </c>
      <c r="B276" s="20">
        <v>871</v>
      </c>
      <c r="C276" s="19" t="s">
        <v>32</v>
      </c>
      <c r="D276" s="19" t="s">
        <v>19</v>
      </c>
      <c r="E276" s="19" t="s">
        <v>19</v>
      </c>
      <c r="F276" s="20">
        <v>3</v>
      </c>
      <c r="G276" s="19" t="s">
        <v>15</v>
      </c>
      <c r="H276" s="19" t="s">
        <v>263</v>
      </c>
      <c r="I276" s="20"/>
      <c r="J276" s="64">
        <f>J277</f>
        <v>5927804.669999999</v>
      </c>
      <c r="K276" s="64">
        <f t="shared" ref="K276:L276" si="130">K277</f>
        <v>5927804.6699999999</v>
      </c>
      <c r="L276" s="64">
        <f t="shared" si="130"/>
        <v>5927804.6699999999</v>
      </c>
      <c r="M276" s="180">
        <f t="shared" si="127"/>
        <v>0</v>
      </c>
    </row>
    <row r="277" spans="1:13" ht="31.2">
      <c r="A277" s="22" t="s">
        <v>22</v>
      </c>
      <c r="B277" s="20">
        <v>871</v>
      </c>
      <c r="C277" s="19" t="s">
        <v>32</v>
      </c>
      <c r="D277" s="19" t="s">
        <v>19</v>
      </c>
      <c r="E277" s="19" t="s">
        <v>19</v>
      </c>
      <c r="F277" s="20">
        <v>3</v>
      </c>
      <c r="G277" s="19" t="s">
        <v>15</v>
      </c>
      <c r="H277" s="19" t="s">
        <v>263</v>
      </c>
      <c r="I277" s="20">
        <v>240</v>
      </c>
      <c r="J277" s="64">
        <f>3230000-1000000+4500000+2408403.86+1514590-300000-2798154.56-1618403.86-8630.77</f>
        <v>5927804.669999999</v>
      </c>
      <c r="K277" s="64">
        <v>5927804.6699999999</v>
      </c>
      <c r="L277" s="64">
        <v>5927804.6699999999</v>
      </c>
      <c r="M277" s="180">
        <f t="shared" si="127"/>
        <v>0</v>
      </c>
    </row>
    <row r="278" spans="1:13" ht="31.2">
      <c r="A278" s="22" t="s">
        <v>264</v>
      </c>
      <c r="B278" s="20">
        <v>871</v>
      </c>
      <c r="C278" s="19" t="s">
        <v>32</v>
      </c>
      <c r="D278" s="19" t="s">
        <v>19</v>
      </c>
      <c r="E278" s="19" t="s">
        <v>19</v>
      </c>
      <c r="F278" s="20">
        <v>3</v>
      </c>
      <c r="G278" s="19" t="s">
        <v>15</v>
      </c>
      <c r="H278" s="19" t="s">
        <v>265</v>
      </c>
      <c r="I278" s="20"/>
      <c r="J278" s="64">
        <f>J279</f>
        <v>2718737.44</v>
      </c>
      <c r="K278" s="64">
        <f t="shared" ref="K278:L278" si="131">K279</f>
        <v>2718737.44</v>
      </c>
      <c r="L278" s="64">
        <f t="shared" si="131"/>
        <v>2662372.9500000002</v>
      </c>
      <c r="M278" s="180">
        <f t="shared" si="127"/>
        <v>56364.489999999758</v>
      </c>
    </row>
    <row r="279" spans="1:13" ht="31.2">
      <c r="A279" s="22" t="s">
        <v>22</v>
      </c>
      <c r="B279" s="20">
        <v>871</v>
      </c>
      <c r="C279" s="19" t="s">
        <v>32</v>
      </c>
      <c r="D279" s="19" t="s">
        <v>19</v>
      </c>
      <c r="E279" s="19" t="s">
        <v>19</v>
      </c>
      <c r="F279" s="20">
        <v>3</v>
      </c>
      <c r="G279" s="19" t="s">
        <v>15</v>
      </c>
      <c r="H279" s="19" t="s">
        <v>265</v>
      </c>
      <c r="I279" s="20">
        <v>240</v>
      </c>
      <c r="J279" s="64">
        <v>2718737.44</v>
      </c>
      <c r="K279" s="64">
        <v>2718737.44</v>
      </c>
      <c r="L279" s="64">
        <v>2662372.9500000002</v>
      </c>
      <c r="M279" s="180">
        <f t="shared" si="127"/>
        <v>56364.489999999758</v>
      </c>
    </row>
    <row r="280" spans="1:13" ht="31.2">
      <c r="A280" s="22" t="s">
        <v>266</v>
      </c>
      <c r="B280" s="20">
        <v>871</v>
      </c>
      <c r="C280" s="19" t="s">
        <v>32</v>
      </c>
      <c r="D280" s="19" t="s">
        <v>19</v>
      </c>
      <c r="E280" s="19" t="s">
        <v>19</v>
      </c>
      <c r="F280" s="20">
        <v>3</v>
      </c>
      <c r="G280" s="19" t="s">
        <v>15</v>
      </c>
      <c r="H280" s="19" t="s">
        <v>267</v>
      </c>
      <c r="I280" s="20"/>
      <c r="J280" s="64">
        <f>J281</f>
        <v>1400000</v>
      </c>
      <c r="K280" s="64">
        <f t="shared" ref="K280:L280" si="132">K281</f>
        <v>1797999.08</v>
      </c>
      <c r="L280" s="64">
        <f t="shared" si="132"/>
        <v>0</v>
      </c>
      <c r="M280" s="180">
        <f t="shared" si="127"/>
        <v>1400000</v>
      </c>
    </row>
    <row r="281" spans="1:13" ht="31.2">
      <c r="A281" s="22" t="s">
        <v>22</v>
      </c>
      <c r="B281" s="20">
        <v>871</v>
      </c>
      <c r="C281" s="19" t="s">
        <v>32</v>
      </c>
      <c r="D281" s="19" t="s">
        <v>19</v>
      </c>
      <c r="E281" s="19" t="s">
        <v>19</v>
      </c>
      <c r="F281" s="20">
        <v>3</v>
      </c>
      <c r="G281" s="19" t="s">
        <v>15</v>
      </c>
      <c r="H281" s="19" t="s">
        <v>267</v>
      </c>
      <c r="I281" s="20">
        <v>240</v>
      </c>
      <c r="J281" s="64">
        <v>1400000</v>
      </c>
      <c r="K281" s="64">
        <v>1797999.08</v>
      </c>
      <c r="L281" s="64">
        <v>0</v>
      </c>
      <c r="M281" s="180">
        <f t="shared" si="127"/>
        <v>1400000</v>
      </c>
    </row>
    <row r="282" spans="1:13" hidden="1">
      <c r="A282" s="22" t="s">
        <v>268</v>
      </c>
      <c r="B282" s="20">
        <v>871</v>
      </c>
      <c r="C282" s="19" t="s">
        <v>32</v>
      </c>
      <c r="D282" s="19" t="s">
        <v>19</v>
      </c>
      <c r="E282" s="19" t="s">
        <v>19</v>
      </c>
      <c r="F282" s="20">
        <v>3</v>
      </c>
      <c r="G282" s="19" t="s">
        <v>15</v>
      </c>
      <c r="H282" s="19" t="s">
        <v>269</v>
      </c>
      <c r="I282" s="20"/>
      <c r="J282" s="64">
        <f>J283</f>
        <v>0</v>
      </c>
      <c r="K282" s="64">
        <f t="shared" ref="K282:L282" si="133">K283</f>
        <v>0</v>
      </c>
      <c r="L282" s="64">
        <f t="shared" si="133"/>
        <v>0</v>
      </c>
      <c r="M282" s="180">
        <f t="shared" si="127"/>
        <v>0</v>
      </c>
    </row>
    <row r="283" spans="1:13" ht="31.2" hidden="1">
      <c r="A283" s="22" t="s">
        <v>22</v>
      </c>
      <c r="B283" s="20">
        <v>871</v>
      </c>
      <c r="C283" s="19" t="s">
        <v>32</v>
      </c>
      <c r="D283" s="19" t="s">
        <v>19</v>
      </c>
      <c r="E283" s="19" t="s">
        <v>19</v>
      </c>
      <c r="F283" s="20">
        <v>3</v>
      </c>
      <c r="G283" s="19" t="s">
        <v>15</v>
      </c>
      <c r="H283" s="19" t="s">
        <v>269</v>
      </c>
      <c r="I283" s="20">
        <v>240</v>
      </c>
      <c r="J283" s="64"/>
      <c r="K283" s="64"/>
      <c r="L283" s="64"/>
      <c r="M283" s="180">
        <f t="shared" si="127"/>
        <v>0</v>
      </c>
    </row>
    <row r="284" spans="1:13">
      <c r="A284" s="22" t="s">
        <v>270</v>
      </c>
      <c r="B284" s="20">
        <v>871</v>
      </c>
      <c r="C284" s="19" t="s">
        <v>32</v>
      </c>
      <c r="D284" s="19" t="s">
        <v>19</v>
      </c>
      <c r="E284" s="19" t="s">
        <v>19</v>
      </c>
      <c r="F284" s="20">
        <v>3</v>
      </c>
      <c r="G284" s="19" t="s">
        <v>15</v>
      </c>
      <c r="H284" s="19" t="s">
        <v>271</v>
      </c>
      <c r="I284" s="20"/>
      <c r="J284" s="64">
        <f>J285</f>
        <v>505362.45999999996</v>
      </c>
      <c r="K284" s="64">
        <f t="shared" ref="K284:L284" si="134">K285</f>
        <v>505362.46</v>
      </c>
      <c r="L284" s="64">
        <f t="shared" si="134"/>
        <v>505362.46</v>
      </c>
      <c r="M284" s="180">
        <f t="shared" si="127"/>
        <v>0</v>
      </c>
    </row>
    <row r="285" spans="1:13" ht="31.2">
      <c r="A285" s="22" t="s">
        <v>22</v>
      </c>
      <c r="B285" s="20">
        <v>871</v>
      </c>
      <c r="C285" s="19" t="s">
        <v>32</v>
      </c>
      <c r="D285" s="19" t="s">
        <v>19</v>
      </c>
      <c r="E285" s="19" t="s">
        <v>19</v>
      </c>
      <c r="F285" s="20">
        <v>3</v>
      </c>
      <c r="G285" s="19" t="s">
        <v>15</v>
      </c>
      <c r="H285" s="19" t="s">
        <v>271</v>
      </c>
      <c r="I285" s="20">
        <v>240</v>
      </c>
      <c r="J285" s="64">
        <f>400000+700000+300000-894637.54</f>
        <v>505362.45999999996</v>
      </c>
      <c r="K285" s="64">
        <v>505362.46</v>
      </c>
      <c r="L285" s="64">
        <v>505362.46</v>
      </c>
      <c r="M285" s="180">
        <f t="shared" si="127"/>
        <v>0</v>
      </c>
    </row>
    <row r="286" spans="1:13" ht="46.8" hidden="1">
      <c r="A286" s="22" t="s">
        <v>272</v>
      </c>
      <c r="B286" s="20">
        <v>871</v>
      </c>
      <c r="C286" s="19" t="s">
        <v>32</v>
      </c>
      <c r="D286" s="19" t="s">
        <v>19</v>
      </c>
      <c r="E286" s="19" t="s">
        <v>19</v>
      </c>
      <c r="F286" s="20">
        <v>3</v>
      </c>
      <c r="G286" s="19" t="s">
        <v>15</v>
      </c>
      <c r="H286" s="19" t="s">
        <v>273</v>
      </c>
      <c r="I286" s="20"/>
      <c r="J286" s="64">
        <f>J287</f>
        <v>0</v>
      </c>
      <c r="K286" s="64">
        <f t="shared" ref="K286:L286" si="135">K287</f>
        <v>0</v>
      </c>
      <c r="L286" s="64">
        <f t="shared" si="135"/>
        <v>0</v>
      </c>
      <c r="M286" s="180">
        <f t="shared" si="127"/>
        <v>0</v>
      </c>
    </row>
    <row r="287" spans="1:13" ht="31.2" hidden="1">
      <c r="A287" s="22" t="s">
        <v>22</v>
      </c>
      <c r="B287" s="20">
        <v>871</v>
      </c>
      <c r="C287" s="19" t="s">
        <v>32</v>
      </c>
      <c r="D287" s="19" t="s">
        <v>19</v>
      </c>
      <c r="E287" s="19" t="s">
        <v>19</v>
      </c>
      <c r="F287" s="20">
        <v>3</v>
      </c>
      <c r="G287" s="19" t="s">
        <v>15</v>
      </c>
      <c r="H287" s="19" t="s">
        <v>273</v>
      </c>
      <c r="I287" s="20">
        <v>240</v>
      </c>
      <c r="J287" s="64"/>
      <c r="K287" s="64"/>
      <c r="L287" s="64"/>
      <c r="M287" s="180">
        <f t="shared" si="127"/>
        <v>0</v>
      </c>
    </row>
    <row r="288" spans="1:13" ht="62.4">
      <c r="A288" s="22" t="s">
        <v>274</v>
      </c>
      <c r="B288" s="20">
        <v>871</v>
      </c>
      <c r="C288" s="19" t="s">
        <v>32</v>
      </c>
      <c r="D288" s="19" t="s">
        <v>19</v>
      </c>
      <c r="E288" s="19" t="s">
        <v>62</v>
      </c>
      <c r="F288" s="20">
        <v>0</v>
      </c>
      <c r="G288" s="19" t="s">
        <v>15</v>
      </c>
      <c r="H288" s="19" t="s">
        <v>16</v>
      </c>
      <c r="I288" s="20"/>
      <c r="J288" s="64">
        <f>J289</f>
        <v>131046.35000000009</v>
      </c>
      <c r="K288" s="64">
        <f t="shared" ref="K288:L288" si="136">K289</f>
        <v>131046.35</v>
      </c>
      <c r="L288" s="64">
        <f t="shared" si="136"/>
        <v>131046.34</v>
      </c>
      <c r="M288" s="180">
        <f t="shared" si="127"/>
        <v>1.0000000096624717E-2</v>
      </c>
    </row>
    <row r="289" spans="1:13" ht="46.8">
      <c r="A289" s="22" t="s">
        <v>275</v>
      </c>
      <c r="B289" s="20">
        <v>871</v>
      </c>
      <c r="C289" s="19" t="s">
        <v>32</v>
      </c>
      <c r="D289" s="19" t="s">
        <v>19</v>
      </c>
      <c r="E289" s="19" t="s">
        <v>62</v>
      </c>
      <c r="F289" s="20">
        <v>1</v>
      </c>
      <c r="G289" s="19" t="s">
        <v>15</v>
      </c>
      <c r="H289" s="19" t="s">
        <v>16</v>
      </c>
      <c r="I289" s="20"/>
      <c r="J289" s="64">
        <f>J290+J293+J296</f>
        <v>131046.35000000009</v>
      </c>
      <c r="K289" s="64">
        <f t="shared" ref="K289:L289" si="137">K290+K293+K296</f>
        <v>131046.35</v>
      </c>
      <c r="L289" s="64">
        <f t="shared" si="137"/>
        <v>131046.34</v>
      </c>
      <c r="M289" s="180">
        <f t="shared" si="127"/>
        <v>1.0000000096624717E-2</v>
      </c>
    </row>
    <row r="290" spans="1:13" hidden="1">
      <c r="A290" s="22" t="s">
        <v>276</v>
      </c>
      <c r="B290" s="20">
        <v>871</v>
      </c>
      <c r="C290" s="19" t="s">
        <v>32</v>
      </c>
      <c r="D290" s="19" t="s">
        <v>19</v>
      </c>
      <c r="E290" s="19" t="s">
        <v>62</v>
      </c>
      <c r="F290" s="20">
        <v>1</v>
      </c>
      <c r="G290" s="19" t="s">
        <v>12</v>
      </c>
      <c r="H290" s="19" t="s">
        <v>16</v>
      </c>
      <c r="I290" s="20"/>
      <c r="J290" s="64">
        <f>J291</f>
        <v>0</v>
      </c>
      <c r="K290" s="64">
        <f t="shared" ref="K290:L291" si="138">K291</f>
        <v>0</v>
      </c>
      <c r="L290" s="64">
        <f t="shared" si="138"/>
        <v>0</v>
      </c>
      <c r="M290" s="180">
        <f t="shared" si="127"/>
        <v>0</v>
      </c>
    </row>
    <row r="291" spans="1:13" ht="93.6" hidden="1">
      <c r="A291" s="22" t="s">
        <v>277</v>
      </c>
      <c r="B291" s="20">
        <v>871</v>
      </c>
      <c r="C291" s="19" t="s">
        <v>32</v>
      </c>
      <c r="D291" s="19" t="s">
        <v>19</v>
      </c>
      <c r="E291" s="19" t="s">
        <v>62</v>
      </c>
      <c r="F291" s="20">
        <v>1</v>
      </c>
      <c r="G291" s="19" t="s">
        <v>12</v>
      </c>
      <c r="H291" s="19" t="s">
        <v>278</v>
      </c>
      <c r="I291" s="20"/>
      <c r="J291" s="64">
        <f>J292</f>
        <v>0</v>
      </c>
      <c r="K291" s="64">
        <f t="shared" si="138"/>
        <v>0</v>
      </c>
      <c r="L291" s="64">
        <f t="shared" si="138"/>
        <v>0</v>
      </c>
      <c r="M291" s="180">
        <f t="shared" si="127"/>
        <v>0</v>
      </c>
    </row>
    <row r="292" spans="1:13" ht="31.2" hidden="1">
      <c r="A292" s="22" t="s">
        <v>22</v>
      </c>
      <c r="B292" s="20">
        <v>871</v>
      </c>
      <c r="C292" s="19" t="s">
        <v>32</v>
      </c>
      <c r="D292" s="19" t="s">
        <v>19</v>
      </c>
      <c r="E292" s="19" t="s">
        <v>62</v>
      </c>
      <c r="F292" s="20">
        <v>1</v>
      </c>
      <c r="G292" s="19" t="s">
        <v>12</v>
      </c>
      <c r="H292" s="19" t="s">
        <v>278</v>
      </c>
      <c r="I292" s="20">
        <v>240</v>
      </c>
      <c r="J292" s="64"/>
      <c r="K292" s="64"/>
      <c r="L292" s="64"/>
      <c r="M292" s="180">
        <f t="shared" si="127"/>
        <v>0</v>
      </c>
    </row>
    <row r="293" spans="1:13" ht="31.2" hidden="1">
      <c r="A293" s="22" t="s">
        <v>279</v>
      </c>
      <c r="B293" s="20">
        <v>871</v>
      </c>
      <c r="C293" s="19" t="s">
        <v>32</v>
      </c>
      <c r="D293" s="19" t="s">
        <v>19</v>
      </c>
      <c r="E293" s="19" t="s">
        <v>62</v>
      </c>
      <c r="F293" s="20">
        <v>1</v>
      </c>
      <c r="G293" s="19" t="s">
        <v>13</v>
      </c>
      <c r="H293" s="19" t="s">
        <v>16</v>
      </c>
      <c r="I293" s="20"/>
      <c r="J293" s="64">
        <f>J294</f>
        <v>0</v>
      </c>
      <c r="K293" s="64">
        <f t="shared" ref="K293:L294" si="139">K294</f>
        <v>0</v>
      </c>
      <c r="L293" s="64">
        <f t="shared" si="139"/>
        <v>0</v>
      </c>
      <c r="M293" s="180">
        <f t="shared" si="127"/>
        <v>0</v>
      </c>
    </row>
    <row r="294" spans="1:13" ht="93.6" hidden="1">
      <c r="A294" s="22" t="s">
        <v>277</v>
      </c>
      <c r="B294" s="20">
        <v>871</v>
      </c>
      <c r="C294" s="19" t="s">
        <v>32</v>
      </c>
      <c r="D294" s="19" t="s">
        <v>19</v>
      </c>
      <c r="E294" s="19" t="s">
        <v>62</v>
      </c>
      <c r="F294" s="20">
        <v>1</v>
      </c>
      <c r="G294" s="19" t="s">
        <v>13</v>
      </c>
      <c r="H294" s="19" t="s">
        <v>278</v>
      </c>
      <c r="I294" s="20"/>
      <c r="J294" s="64">
        <f>J295</f>
        <v>0</v>
      </c>
      <c r="K294" s="64">
        <f t="shared" si="139"/>
        <v>0</v>
      </c>
      <c r="L294" s="64">
        <f t="shared" si="139"/>
        <v>0</v>
      </c>
      <c r="M294" s="180">
        <f t="shared" si="127"/>
        <v>0</v>
      </c>
    </row>
    <row r="295" spans="1:13" ht="31.2" hidden="1">
      <c r="A295" s="22" t="s">
        <v>22</v>
      </c>
      <c r="B295" s="20">
        <v>871</v>
      </c>
      <c r="C295" s="19" t="s">
        <v>32</v>
      </c>
      <c r="D295" s="19" t="s">
        <v>19</v>
      </c>
      <c r="E295" s="19" t="s">
        <v>62</v>
      </c>
      <c r="F295" s="20">
        <v>1</v>
      </c>
      <c r="G295" s="19" t="s">
        <v>13</v>
      </c>
      <c r="H295" s="19" t="s">
        <v>278</v>
      </c>
      <c r="I295" s="20">
        <v>240</v>
      </c>
      <c r="J295" s="64"/>
      <c r="K295" s="64"/>
      <c r="L295" s="64"/>
      <c r="M295" s="180">
        <f t="shared" si="127"/>
        <v>0</v>
      </c>
    </row>
    <row r="296" spans="1:13" ht="109.2">
      <c r="A296" s="22" t="s">
        <v>280</v>
      </c>
      <c r="B296" s="20">
        <v>871</v>
      </c>
      <c r="C296" s="19" t="s">
        <v>32</v>
      </c>
      <c r="D296" s="19" t="s">
        <v>19</v>
      </c>
      <c r="E296" s="19" t="s">
        <v>62</v>
      </c>
      <c r="F296" s="20">
        <v>1</v>
      </c>
      <c r="G296" s="19" t="s">
        <v>73</v>
      </c>
      <c r="H296" s="19" t="s">
        <v>16</v>
      </c>
      <c r="I296" s="20"/>
      <c r="J296" s="64">
        <f>J297</f>
        <v>131046.35000000009</v>
      </c>
      <c r="K296" s="64">
        <f t="shared" ref="K296:L297" si="140">K297</f>
        <v>131046.35</v>
      </c>
      <c r="L296" s="64">
        <f t="shared" si="140"/>
        <v>131046.34</v>
      </c>
      <c r="M296" s="180">
        <f t="shared" si="127"/>
        <v>1.0000000096624717E-2</v>
      </c>
    </row>
    <row r="297" spans="1:13" ht="93.6">
      <c r="A297" s="22" t="s">
        <v>277</v>
      </c>
      <c r="B297" s="20">
        <v>871</v>
      </c>
      <c r="C297" s="19" t="s">
        <v>32</v>
      </c>
      <c r="D297" s="19" t="s">
        <v>19</v>
      </c>
      <c r="E297" s="19" t="s">
        <v>62</v>
      </c>
      <c r="F297" s="20">
        <v>1</v>
      </c>
      <c r="G297" s="19" t="s">
        <v>73</v>
      </c>
      <c r="H297" s="19" t="s">
        <v>74</v>
      </c>
      <c r="I297" s="20"/>
      <c r="J297" s="64">
        <f>J298</f>
        <v>131046.35000000009</v>
      </c>
      <c r="K297" s="64">
        <f t="shared" si="140"/>
        <v>131046.35</v>
      </c>
      <c r="L297" s="64">
        <f t="shared" si="140"/>
        <v>131046.34</v>
      </c>
      <c r="M297" s="180">
        <f t="shared" si="127"/>
        <v>1.0000000096624717E-2</v>
      </c>
    </row>
    <row r="298" spans="1:13">
      <c r="A298" s="28" t="s">
        <v>116</v>
      </c>
      <c r="B298" s="20">
        <v>871</v>
      </c>
      <c r="C298" s="19" t="s">
        <v>32</v>
      </c>
      <c r="D298" s="19" t="s">
        <v>19</v>
      </c>
      <c r="E298" s="19" t="s">
        <v>62</v>
      </c>
      <c r="F298" s="20">
        <v>1</v>
      </c>
      <c r="G298" s="19" t="s">
        <v>73</v>
      </c>
      <c r="H298" s="19" t="s">
        <v>74</v>
      </c>
      <c r="I298" s="20">
        <v>540</v>
      </c>
      <c r="J298" s="64">
        <f>700713.3-569666.95</f>
        <v>131046.35000000009</v>
      </c>
      <c r="K298" s="64">
        <v>131046.35</v>
      </c>
      <c r="L298" s="64">
        <v>131046.34</v>
      </c>
      <c r="M298" s="180">
        <f t="shared" si="127"/>
        <v>1.0000000096624717E-2</v>
      </c>
    </row>
    <row r="299" spans="1:13">
      <c r="A299" s="22" t="s">
        <v>27</v>
      </c>
      <c r="B299" s="77" t="s">
        <v>5</v>
      </c>
      <c r="C299" s="77" t="s">
        <v>32</v>
      </c>
      <c r="D299" s="77" t="s">
        <v>19</v>
      </c>
      <c r="E299" s="77" t="s">
        <v>28</v>
      </c>
      <c r="F299" s="78">
        <v>0</v>
      </c>
      <c r="G299" s="77" t="s">
        <v>15</v>
      </c>
      <c r="H299" s="77" t="s">
        <v>16</v>
      </c>
      <c r="I299" s="78"/>
      <c r="J299" s="64">
        <f>J300</f>
        <v>98447.03</v>
      </c>
      <c r="K299" s="64">
        <f t="shared" ref="K299:L301" si="141">K300</f>
        <v>98447.03</v>
      </c>
      <c r="L299" s="64">
        <f t="shared" si="141"/>
        <v>98447.03</v>
      </c>
      <c r="M299" s="180">
        <f t="shared" si="127"/>
        <v>0</v>
      </c>
    </row>
    <row r="300" spans="1:13">
      <c r="A300" s="22" t="s">
        <v>174</v>
      </c>
      <c r="B300" s="77" t="s">
        <v>5</v>
      </c>
      <c r="C300" s="77" t="s">
        <v>32</v>
      </c>
      <c r="D300" s="77" t="s">
        <v>19</v>
      </c>
      <c r="E300" s="77" t="s">
        <v>28</v>
      </c>
      <c r="F300" s="78">
        <v>9</v>
      </c>
      <c r="G300" s="77" t="s">
        <v>15</v>
      </c>
      <c r="H300" s="77" t="s">
        <v>16</v>
      </c>
      <c r="I300" s="78"/>
      <c r="J300" s="64">
        <f>J301</f>
        <v>98447.03</v>
      </c>
      <c r="K300" s="64">
        <f t="shared" si="141"/>
        <v>98447.03</v>
      </c>
      <c r="L300" s="64">
        <f t="shared" si="141"/>
        <v>98447.03</v>
      </c>
      <c r="M300" s="180">
        <f t="shared" si="127"/>
        <v>0</v>
      </c>
    </row>
    <row r="301" spans="1:13" ht="31.2">
      <c r="A301" s="21" t="s">
        <v>294</v>
      </c>
      <c r="B301" s="77" t="s">
        <v>5</v>
      </c>
      <c r="C301" s="77" t="s">
        <v>32</v>
      </c>
      <c r="D301" s="77" t="s">
        <v>19</v>
      </c>
      <c r="E301" s="77" t="s">
        <v>28</v>
      </c>
      <c r="F301" s="78">
        <v>9</v>
      </c>
      <c r="G301" s="77" t="s">
        <v>15</v>
      </c>
      <c r="H301" s="78">
        <v>29180</v>
      </c>
      <c r="I301" s="77"/>
      <c r="J301" s="64">
        <f>J302</f>
        <v>98447.03</v>
      </c>
      <c r="K301" s="64">
        <f t="shared" si="141"/>
        <v>98447.03</v>
      </c>
      <c r="L301" s="64">
        <f t="shared" si="141"/>
        <v>98447.03</v>
      </c>
      <c r="M301" s="180">
        <f t="shared" si="127"/>
        <v>0</v>
      </c>
    </row>
    <row r="302" spans="1:13">
      <c r="A302" s="22" t="s">
        <v>53</v>
      </c>
      <c r="B302" s="77" t="s">
        <v>5</v>
      </c>
      <c r="C302" s="77" t="s">
        <v>32</v>
      </c>
      <c r="D302" s="77" t="s">
        <v>19</v>
      </c>
      <c r="E302" s="77" t="s">
        <v>28</v>
      </c>
      <c r="F302" s="78">
        <v>9</v>
      </c>
      <c r="G302" s="77" t="s">
        <v>15</v>
      </c>
      <c r="H302" s="78">
        <v>29180</v>
      </c>
      <c r="I302" s="77" t="s">
        <v>402</v>
      </c>
      <c r="J302" s="64">
        <f>98447.03</f>
        <v>98447.03</v>
      </c>
      <c r="K302" s="64">
        <v>98447.03</v>
      </c>
      <c r="L302" s="64">
        <v>98447.03</v>
      </c>
      <c r="M302" s="180">
        <f t="shared" si="127"/>
        <v>0</v>
      </c>
    </row>
    <row r="303" spans="1:13" ht="31.2">
      <c r="A303" s="22" t="s">
        <v>281</v>
      </c>
      <c r="B303" s="20">
        <v>871</v>
      </c>
      <c r="C303" s="19" t="s">
        <v>32</v>
      </c>
      <c r="D303" s="19" t="s">
        <v>32</v>
      </c>
      <c r="E303" s="19" t="s">
        <v>15</v>
      </c>
      <c r="F303" s="20">
        <v>0</v>
      </c>
      <c r="G303" s="19" t="s">
        <v>15</v>
      </c>
      <c r="H303" s="19" t="s">
        <v>16</v>
      </c>
      <c r="I303" s="20"/>
      <c r="J303" s="64">
        <f>J304+J310</f>
        <v>19429905.969999999</v>
      </c>
      <c r="K303" s="64">
        <f t="shared" ref="K303:L303" si="142">K304+K310</f>
        <v>19429905.969999999</v>
      </c>
      <c r="L303" s="64">
        <f t="shared" si="142"/>
        <v>17821254.340000004</v>
      </c>
      <c r="M303" s="180">
        <f t="shared" si="127"/>
        <v>1608651.6299999952</v>
      </c>
    </row>
    <row r="304" spans="1:13" ht="62.4">
      <c r="A304" s="21" t="s">
        <v>209</v>
      </c>
      <c r="B304" s="20">
        <v>871</v>
      </c>
      <c r="C304" s="19" t="s">
        <v>32</v>
      </c>
      <c r="D304" s="19" t="s">
        <v>32</v>
      </c>
      <c r="E304" s="19" t="s">
        <v>19</v>
      </c>
      <c r="F304" s="20">
        <v>0</v>
      </c>
      <c r="G304" s="19" t="s">
        <v>15</v>
      </c>
      <c r="H304" s="19" t="s">
        <v>16</v>
      </c>
      <c r="I304" s="20"/>
      <c r="J304" s="64">
        <f>J305</f>
        <v>18871735.969999999</v>
      </c>
      <c r="K304" s="64">
        <f t="shared" ref="K304:L305" si="143">K305</f>
        <v>18871735.969999999</v>
      </c>
      <c r="L304" s="64">
        <f t="shared" si="143"/>
        <v>17285909.340000004</v>
      </c>
      <c r="M304" s="180">
        <f t="shared" si="127"/>
        <v>1585826.6299999952</v>
      </c>
    </row>
    <row r="305" spans="1:13">
      <c r="A305" s="22" t="s">
        <v>282</v>
      </c>
      <c r="B305" s="20">
        <v>871</v>
      </c>
      <c r="C305" s="19" t="s">
        <v>32</v>
      </c>
      <c r="D305" s="19" t="s">
        <v>32</v>
      </c>
      <c r="E305" s="19" t="s">
        <v>19</v>
      </c>
      <c r="F305" s="20">
        <v>4</v>
      </c>
      <c r="G305" s="19" t="s">
        <v>15</v>
      </c>
      <c r="H305" s="19" t="s">
        <v>16</v>
      </c>
      <c r="I305" s="20"/>
      <c r="J305" s="64">
        <f>J306</f>
        <v>18871735.969999999</v>
      </c>
      <c r="K305" s="64">
        <f t="shared" si="143"/>
        <v>18871735.969999999</v>
      </c>
      <c r="L305" s="64">
        <f t="shared" si="143"/>
        <v>17285909.340000004</v>
      </c>
      <c r="M305" s="180">
        <f t="shared" si="127"/>
        <v>1585826.6299999952</v>
      </c>
    </row>
    <row r="306" spans="1:13" ht="31.2">
      <c r="A306" s="22" t="s">
        <v>283</v>
      </c>
      <c r="B306" s="20">
        <v>871</v>
      </c>
      <c r="C306" s="19" t="s">
        <v>32</v>
      </c>
      <c r="D306" s="19" t="s">
        <v>32</v>
      </c>
      <c r="E306" s="19" t="s">
        <v>19</v>
      </c>
      <c r="F306" s="20">
        <v>4</v>
      </c>
      <c r="G306" s="19" t="s">
        <v>15</v>
      </c>
      <c r="H306" s="19" t="s">
        <v>284</v>
      </c>
      <c r="I306" s="20"/>
      <c r="J306" s="64">
        <f>SUM(J307:J309)</f>
        <v>18871735.969999999</v>
      </c>
      <c r="K306" s="64">
        <f t="shared" ref="K306:L306" si="144">SUM(K307:K309)</f>
        <v>18871735.969999999</v>
      </c>
      <c r="L306" s="64">
        <f t="shared" si="144"/>
        <v>17285909.340000004</v>
      </c>
      <c r="M306" s="180">
        <f t="shared" si="127"/>
        <v>1585826.6299999952</v>
      </c>
    </row>
    <row r="307" spans="1:13">
      <c r="A307" s="21" t="s">
        <v>285</v>
      </c>
      <c r="B307" s="20">
        <v>871</v>
      </c>
      <c r="C307" s="19" t="s">
        <v>32</v>
      </c>
      <c r="D307" s="19" t="s">
        <v>32</v>
      </c>
      <c r="E307" s="19" t="s">
        <v>19</v>
      </c>
      <c r="F307" s="20">
        <v>4</v>
      </c>
      <c r="G307" s="19" t="s">
        <v>15</v>
      </c>
      <c r="H307" s="19" t="s">
        <v>284</v>
      </c>
      <c r="I307" s="20">
        <v>110</v>
      </c>
      <c r="J307" s="64">
        <f>16560241.48-1051448.33</f>
        <v>15508793.15</v>
      </c>
      <c r="K307" s="64">
        <f>11913277.48+3595515.67</f>
        <v>15508793.15</v>
      </c>
      <c r="L307" s="64">
        <f>11040171.65+3273134.45</f>
        <v>14313306.100000001</v>
      </c>
      <c r="M307" s="180">
        <f t="shared" si="127"/>
        <v>1195487.0499999989</v>
      </c>
    </row>
    <row r="308" spans="1:13" ht="31.2">
      <c r="A308" s="22" t="s">
        <v>22</v>
      </c>
      <c r="B308" s="20">
        <v>871</v>
      </c>
      <c r="C308" s="19" t="s">
        <v>32</v>
      </c>
      <c r="D308" s="19" t="s">
        <v>32</v>
      </c>
      <c r="E308" s="19" t="s">
        <v>19</v>
      </c>
      <c r="F308" s="20">
        <v>4</v>
      </c>
      <c r="G308" s="19" t="s">
        <v>15</v>
      </c>
      <c r="H308" s="19" t="s">
        <v>284</v>
      </c>
      <c r="I308" s="20">
        <v>240</v>
      </c>
      <c r="J308" s="64">
        <f>3013940.4-600000+450000+800000-347997.58</f>
        <v>3315942.82</v>
      </c>
      <c r="K308" s="64">
        <f>201910.29+3114032.53</f>
        <v>3315942.82</v>
      </c>
      <c r="L308" s="64">
        <f>159463.87+2771447.37</f>
        <v>2930911.24</v>
      </c>
      <c r="M308" s="180">
        <f t="shared" si="127"/>
        <v>385031.57999999961</v>
      </c>
    </row>
    <row r="309" spans="1:13">
      <c r="A309" s="21" t="s">
        <v>24</v>
      </c>
      <c r="B309" s="20">
        <v>871</v>
      </c>
      <c r="C309" s="19" t="s">
        <v>32</v>
      </c>
      <c r="D309" s="19" t="s">
        <v>32</v>
      </c>
      <c r="E309" s="19" t="s">
        <v>19</v>
      </c>
      <c r="F309" s="20">
        <v>4</v>
      </c>
      <c r="G309" s="19" t="s">
        <v>15</v>
      </c>
      <c r="H309" s="19" t="s">
        <v>284</v>
      </c>
      <c r="I309" s="20">
        <v>850</v>
      </c>
      <c r="J309" s="64">
        <v>47000</v>
      </c>
      <c r="K309" s="64">
        <v>47000</v>
      </c>
      <c r="L309" s="64">
        <v>41692</v>
      </c>
      <c r="M309" s="180">
        <f t="shared" si="127"/>
        <v>5308</v>
      </c>
    </row>
    <row r="310" spans="1:13" ht="62.4">
      <c r="A310" s="21" t="s">
        <v>141</v>
      </c>
      <c r="B310" s="20">
        <v>871</v>
      </c>
      <c r="C310" s="19" t="s">
        <v>32</v>
      </c>
      <c r="D310" s="19" t="s">
        <v>32</v>
      </c>
      <c r="E310" s="19" t="s">
        <v>36</v>
      </c>
      <c r="F310" s="20">
        <v>0</v>
      </c>
      <c r="G310" s="19" t="s">
        <v>15</v>
      </c>
      <c r="H310" s="19" t="s">
        <v>16</v>
      </c>
      <c r="I310" s="20"/>
      <c r="J310" s="64">
        <f>J311</f>
        <v>558170</v>
      </c>
      <c r="K310" s="64">
        <f t="shared" ref="K310:L310" si="145">K311</f>
        <v>558170</v>
      </c>
      <c r="L310" s="64">
        <f t="shared" si="145"/>
        <v>535345</v>
      </c>
      <c r="M310" s="180">
        <f t="shared" si="127"/>
        <v>22825</v>
      </c>
    </row>
    <row r="311" spans="1:13" ht="31.2">
      <c r="A311" s="21" t="s">
        <v>286</v>
      </c>
      <c r="B311" s="19" t="s">
        <v>5</v>
      </c>
      <c r="C311" s="19" t="s">
        <v>32</v>
      </c>
      <c r="D311" s="19" t="s">
        <v>32</v>
      </c>
      <c r="E311" s="19" t="s">
        <v>36</v>
      </c>
      <c r="F311" s="20">
        <v>2</v>
      </c>
      <c r="G311" s="19" t="s">
        <v>15</v>
      </c>
      <c r="H311" s="19" t="s">
        <v>16</v>
      </c>
      <c r="I311" s="20"/>
      <c r="J311" s="64">
        <f>J312+J315+J318</f>
        <v>558170</v>
      </c>
      <c r="K311" s="64">
        <f t="shared" ref="K311:L311" si="146">K312+K315+K318</f>
        <v>558170</v>
      </c>
      <c r="L311" s="64">
        <f t="shared" si="146"/>
        <v>535345</v>
      </c>
      <c r="M311" s="180">
        <f t="shared" si="127"/>
        <v>22825</v>
      </c>
    </row>
    <row r="312" spans="1:13">
      <c r="A312" s="21" t="s">
        <v>143</v>
      </c>
      <c r="B312" s="19" t="s">
        <v>5</v>
      </c>
      <c r="C312" s="19" t="s">
        <v>32</v>
      </c>
      <c r="D312" s="19" t="s">
        <v>32</v>
      </c>
      <c r="E312" s="19" t="s">
        <v>36</v>
      </c>
      <c r="F312" s="20">
        <v>2</v>
      </c>
      <c r="G312" s="19" t="s">
        <v>12</v>
      </c>
      <c r="H312" s="19" t="s">
        <v>16</v>
      </c>
      <c r="I312" s="20"/>
      <c r="J312" s="64">
        <f>J313</f>
        <v>438000</v>
      </c>
      <c r="K312" s="64">
        <f t="shared" ref="K312:L313" si="147">K313</f>
        <v>438000</v>
      </c>
      <c r="L312" s="64">
        <f t="shared" si="147"/>
        <v>420175</v>
      </c>
      <c r="M312" s="180">
        <f t="shared" si="127"/>
        <v>17825</v>
      </c>
    </row>
    <row r="313" spans="1:13" ht="46.8">
      <c r="A313" s="22" t="s">
        <v>144</v>
      </c>
      <c r="B313" s="19" t="s">
        <v>5</v>
      </c>
      <c r="C313" s="19" t="s">
        <v>32</v>
      </c>
      <c r="D313" s="19" t="s">
        <v>32</v>
      </c>
      <c r="E313" s="19" t="s">
        <v>36</v>
      </c>
      <c r="F313" s="19" t="s">
        <v>20</v>
      </c>
      <c r="G313" s="19" t="s">
        <v>12</v>
      </c>
      <c r="H313" s="19" t="s">
        <v>145</v>
      </c>
      <c r="I313" s="19"/>
      <c r="J313" s="64">
        <f>J314</f>
        <v>438000</v>
      </c>
      <c r="K313" s="64">
        <f t="shared" si="147"/>
        <v>438000</v>
      </c>
      <c r="L313" s="64">
        <f t="shared" si="147"/>
        <v>420175</v>
      </c>
      <c r="M313" s="180">
        <f t="shared" si="127"/>
        <v>17825</v>
      </c>
    </row>
    <row r="314" spans="1:13" ht="31.2">
      <c r="A314" s="22" t="s">
        <v>22</v>
      </c>
      <c r="B314" s="19" t="s">
        <v>5</v>
      </c>
      <c r="C314" s="19" t="s">
        <v>32</v>
      </c>
      <c r="D314" s="19" t="s">
        <v>32</v>
      </c>
      <c r="E314" s="19" t="s">
        <v>36</v>
      </c>
      <c r="F314" s="19" t="s">
        <v>20</v>
      </c>
      <c r="G314" s="19" t="s">
        <v>12</v>
      </c>
      <c r="H314" s="19" t="s">
        <v>145</v>
      </c>
      <c r="I314" s="19" t="s">
        <v>23</v>
      </c>
      <c r="J314" s="64">
        <f>150000+288000</f>
        <v>438000</v>
      </c>
      <c r="K314" s="64">
        <v>438000</v>
      </c>
      <c r="L314" s="64">
        <v>420175</v>
      </c>
      <c r="M314" s="180">
        <f t="shared" si="127"/>
        <v>17825</v>
      </c>
    </row>
    <row r="315" spans="1:13">
      <c r="A315" s="21" t="s">
        <v>287</v>
      </c>
      <c r="B315" s="19" t="s">
        <v>5</v>
      </c>
      <c r="C315" s="19" t="s">
        <v>32</v>
      </c>
      <c r="D315" s="19" t="s">
        <v>32</v>
      </c>
      <c r="E315" s="19" t="s">
        <v>36</v>
      </c>
      <c r="F315" s="20">
        <v>2</v>
      </c>
      <c r="G315" s="19" t="s">
        <v>13</v>
      </c>
      <c r="H315" s="19"/>
      <c r="I315" s="20"/>
      <c r="J315" s="64">
        <f>J316</f>
        <v>115170</v>
      </c>
      <c r="K315" s="64">
        <f t="shared" ref="K315:L316" si="148">K316</f>
        <v>115170</v>
      </c>
      <c r="L315" s="64">
        <f t="shared" si="148"/>
        <v>115170</v>
      </c>
      <c r="M315" s="180">
        <f t="shared" si="127"/>
        <v>0</v>
      </c>
    </row>
    <row r="316" spans="1:13" ht="46.8">
      <c r="A316" s="22" t="s">
        <v>144</v>
      </c>
      <c r="B316" s="19" t="s">
        <v>5</v>
      </c>
      <c r="C316" s="19" t="s">
        <v>32</v>
      </c>
      <c r="D316" s="19" t="s">
        <v>32</v>
      </c>
      <c r="E316" s="19" t="s">
        <v>36</v>
      </c>
      <c r="F316" s="19" t="s">
        <v>20</v>
      </c>
      <c r="G316" s="19" t="s">
        <v>13</v>
      </c>
      <c r="H316" s="19" t="s">
        <v>145</v>
      </c>
      <c r="I316" s="19"/>
      <c r="J316" s="64">
        <f>J317</f>
        <v>115170</v>
      </c>
      <c r="K316" s="64">
        <f t="shared" si="148"/>
        <v>115170</v>
      </c>
      <c r="L316" s="64">
        <f t="shared" si="148"/>
        <v>115170</v>
      </c>
      <c r="M316" s="180">
        <f t="shared" si="127"/>
        <v>0</v>
      </c>
    </row>
    <row r="317" spans="1:13" ht="31.2">
      <c r="A317" s="22" t="s">
        <v>22</v>
      </c>
      <c r="B317" s="19" t="s">
        <v>5</v>
      </c>
      <c r="C317" s="19" t="s">
        <v>32</v>
      </c>
      <c r="D317" s="19" t="s">
        <v>32</v>
      </c>
      <c r="E317" s="19" t="s">
        <v>36</v>
      </c>
      <c r="F317" s="19" t="s">
        <v>20</v>
      </c>
      <c r="G317" s="19" t="s">
        <v>13</v>
      </c>
      <c r="H317" s="19" t="s">
        <v>145</v>
      </c>
      <c r="I317" s="19" t="s">
        <v>23</v>
      </c>
      <c r="J317" s="64">
        <f>508000-288000-104830</f>
        <v>115170</v>
      </c>
      <c r="K317" s="64">
        <v>115170</v>
      </c>
      <c r="L317" s="64">
        <v>115170</v>
      </c>
      <c r="M317" s="180">
        <f t="shared" si="127"/>
        <v>0</v>
      </c>
    </row>
    <row r="318" spans="1:13" ht="31.2">
      <c r="A318" s="21" t="s">
        <v>150</v>
      </c>
      <c r="B318" s="19" t="s">
        <v>5</v>
      </c>
      <c r="C318" s="19" t="s">
        <v>32</v>
      </c>
      <c r="D318" s="19" t="s">
        <v>32</v>
      </c>
      <c r="E318" s="19" t="s">
        <v>36</v>
      </c>
      <c r="F318" s="19" t="s">
        <v>20</v>
      </c>
      <c r="G318" s="19" t="s">
        <v>19</v>
      </c>
      <c r="H318" s="19" t="s">
        <v>16</v>
      </c>
      <c r="I318" s="19"/>
      <c r="J318" s="64">
        <f>J319</f>
        <v>5000</v>
      </c>
      <c r="K318" s="64">
        <f t="shared" ref="K318:L319" si="149">K319</f>
        <v>5000</v>
      </c>
      <c r="L318" s="64">
        <f t="shared" si="149"/>
        <v>0</v>
      </c>
      <c r="M318" s="180">
        <f t="shared" si="127"/>
        <v>5000</v>
      </c>
    </row>
    <row r="319" spans="1:13" ht="46.8">
      <c r="A319" s="22" t="s">
        <v>144</v>
      </c>
      <c r="B319" s="19" t="s">
        <v>5</v>
      </c>
      <c r="C319" s="19" t="s">
        <v>32</v>
      </c>
      <c r="D319" s="19" t="s">
        <v>32</v>
      </c>
      <c r="E319" s="19" t="s">
        <v>36</v>
      </c>
      <c r="F319" s="19" t="s">
        <v>20</v>
      </c>
      <c r="G319" s="19" t="s">
        <v>19</v>
      </c>
      <c r="H319" s="19" t="s">
        <v>145</v>
      </c>
      <c r="I319" s="19"/>
      <c r="J319" s="64">
        <f>J320</f>
        <v>5000</v>
      </c>
      <c r="K319" s="64">
        <f t="shared" si="149"/>
        <v>5000</v>
      </c>
      <c r="L319" s="64">
        <f t="shared" si="149"/>
        <v>0</v>
      </c>
      <c r="M319" s="180">
        <f t="shared" si="127"/>
        <v>5000</v>
      </c>
    </row>
    <row r="320" spans="1:13" ht="31.2">
      <c r="A320" s="22" t="s">
        <v>22</v>
      </c>
      <c r="B320" s="19" t="s">
        <v>5</v>
      </c>
      <c r="C320" s="19" t="s">
        <v>32</v>
      </c>
      <c r="D320" s="19" t="s">
        <v>32</v>
      </c>
      <c r="E320" s="19" t="s">
        <v>36</v>
      </c>
      <c r="F320" s="19" t="s">
        <v>20</v>
      </c>
      <c r="G320" s="19" t="s">
        <v>19</v>
      </c>
      <c r="H320" s="19" t="s">
        <v>145</v>
      </c>
      <c r="I320" s="19" t="s">
        <v>23</v>
      </c>
      <c r="J320" s="64">
        <v>5000</v>
      </c>
      <c r="K320" s="64">
        <v>5000</v>
      </c>
      <c r="L320" s="64">
        <v>0</v>
      </c>
      <c r="M320" s="180">
        <f t="shared" si="127"/>
        <v>5000</v>
      </c>
    </row>
    <row r="321" spans="1:13" hidden="1">
      <c r="A321" s="22" t="s">
        <v>75</v>
      </c>
      <c r="B321" s="19" t="s">
        <v>5</v>
      </c>
      <c r="C321" s="19" t="s">
        <v>34</v>
      </c>
      <c r="D321" s="19"/>
      <c r="E321" s="19"/>
      <c r="F321" s="19"/>
      <c r="G321" s="19"/>
      <c r="H321" s="19"/>
      <c r="I321" s="19"/>
      <c r="J321" s="64">
        <f>J322</f>
        <v>0</v>
      </c>
      <c r="K321" s="64">
        <f t="shared" ref="K321:L325" si="150">K322</f>
        <v>0</v>
      </c>
      <c r="L321" s="64">
        <f t="shared" si="150"/>
        <v>0</v>
      </c>
      <c r="M321" s="180">
        <f t="shared" si="127"/>
        <v>0</v>
      </c>
    </row>
    <row r="322" spans="1:13" hidden="1">
      <c r="A322" s="22" t="s">
        <v>76</v>
      </c>
      <c r="B322" s="19" t="s">
        <v>5</v>
      </c>
      <c r="C322" s="19" t="s">
        <v>34</v>
      </c>
      <c r="D322" s="19" t="s">
        <v>32</v>
      </c>
      <c r="E322" s="19"/>
      <c r="F322" s="19"/>
      <c r="G322" s="19"/>
      <c r="H322" s="19"/>
      <c r="I322" s="19"/>
      <c r="J322" s="64">
        <f>J323</f>
        <v>0</v>
      </c>
      <c r="K322" s="64">
        <f t="shared" si="150"/>
        <v>0</v>
      </c>
      <c r="L322" s="64">
        <f t="shared" si="150"/>
        <v>0</v>
      </c>
      <c r="M322" s="180">
        <f t="shared" si="127"/>
        <v>0</v>
      </c>
    </row>
    <row r="323" spans="1:13" hidden="1">
      <c r="A323" s="22" t="s">
        <v>27</v>
      </c>
      <c r="B323" s="19" t="s">
        <v>5</v>
      </c>
      <c r="C323" s="19" t="s">
        <v>34</v>
      </c>
      <c r="D323" s="19" t="s">
        <v>32</v>
      </c>
      <c r="E323" s="19" t="s">
        <v>28</v>
      </c>
      <c r="F323" s="20">
        <v>0</v>
      </c>
      <c r="G323" s="19" t="s">
        <v>14</v>
      </c>
      <c r="H323" s="19" t="s">
        <v>16</v>
      </c>
      <c r="I323" s="19"/>
      <c r="J323" s="64">
        <f>J324</f>
        <v>0</v>
      </c>
      <c r="K323" s="64">
        <f t="shared" si="150"/>
        <v>0</v>
      </c>
      <c r="L323" s="64">
        <f t="shared" si="150"/>
        <v>0</v>
      </c>
      <c r="M323" s="180">
        <f t="shared" si="127"/>
        <v>0</v>
      </c>
    </row>
    <row r="324" spans="1:13" hidden="1">
      <c r="A324" s="22" t="s">
        <v>174</v>
      </c>
      <c r="B324" s="19" t="s">
        <v>5</v>
      </c>
      <c r="C324" s="19" t="s">
        <v>34</v>
      </c>
      <c r="D324" s="19" t="s">
        <v>32</v>
      </c>
      <c r="E324" s="19" t="s">
        <v>28</v>
      </c>
      <c r="F324" s="20">
        <v>9</v>
      </c>
      <c r="G324" s="19" t="s">
        <v>14</v>
      </c>
      <c r="H324" s="19" t="s">
        <v>16</v>
      </c>
      <c r="I324" s="19"/>
      <c r="J324" s="64">
        <f>J325</f>
        <v>0</v>
      </c>
      <c r="K324" s="64">
        <f t="shared" si="150"/>
        <v>0</v>
      </c>
      <c r="L324" s="64">
        <f t="shared" si="150"/>
        <v>0</v>
      </c>
      <c r="M324" s="180">
        <f t="shared" si="127"/>
        <v>0</v>
      </c>
    </row>
    <row r="325" spans="1:13" ht="46.8" hidden="1">
      <c r="A325" s="22" t="s">
        <v>272</v>
      </c>
      <c r="B325" s="19" t="s">
        <v>5</v>
      </c>
      <c r="C325" s="19" t="s">
        <v>34</v>
      </c>
      <c r="D325" s="19" t="s">
        <v>32</v>
      </c>
      <c r="E325" s="19" t="s">
        <v>28</v>
      </c>
      <c r="F325" s="19" t="s">
        <v>29</v>
      </c>
      <c r="G325" s="19" t="s">
        <v>14</v>
      </c>
      <c r="H325" s="19" t="s">
        <v>273</v>
      </c>
      <c r="I325" s="19"/>
      <c r="J325" s="64">
        <f>J326</f>
        <v>0</v>
      </c>
      <c r="K325" s="64">
        <f t="shared" si="150"/>
        <v>0</v>
      </c>
      <c r="L325" s="64">
        <f t="shared" si="150"/>
        <v>0</v>
      </c>
      <c r="M325" s="180">
        <f t="shared" si="127"/>
        <v>0</v>
      </c>
    </row>
    <row r="326" spans="1:13" ht="31.2" hidden="1">
      <c r="A326" s="22" t="s">
        <v>22</v>
      </c>
      <c r="B326" s="19" t="s">
        <v>5</v>
      </c>
      <c r="C326" s="19" t="s">
        <v>34</v>
      </c>
      <c r="D326" s="19" t="s">
        <v>32</v>
      </c>
      <c r="E326" s="19" t="s">
        <v>28</v>
      </c>
      <c r="F326" s="19" t="s">
        <v>29</v>
      </c>
      <c r="G326" s="19" t="s">
        <v>14</v>
      </c>
      <c r="H326" s="19" t="s">
        <v>273</v>
      </c>
      <c r="I326" s="19" t="s">
        <v>23</v>
      </c>
      <c r="J326" s="64"/>
      <c r="K326" s="64"/>
      <c r="L326" s="64"/>
      <c r="M326" s="180">
        <f t="shared" si="127"/>
        <v>0</v>
      </c>
    </row>
    <row r="327" spans="1:13">
      <c r="A327" s="29" t="s">
        <v>77</v>
      </c>
      <c r="B327" s="19" t="s">
        <v>5</v>
      </c>
      <c r="C327" s="19" t="s">
        <v>36</v>
      </c>
      <c r="D327" s="19"/>
      <c r="E327" s="19"/>
      <c r="F327" s="20"/>
      <c r="G327" s="19"/>
      <c r="H327" s="19"/>
      <c r="I327" s="20"/>
      <c r="J327" s="63">
        <f>J328+J332</f>
        <v>2529309.2000000002</v>
      </c>
      <c r="K327" s="63">
        <f t="shared" ref="K327:L327" si="151">K328+K332</f>
        <v>2529309.2000000002</v>
      </c>
      <c r="L327" s="63">
        <f t="shared" si="151"/>
        <v>2516309.2000000002</v>
      </c>
      <c r="M327" s="180">
        <f t="shared" si="127"/>
        <v>13000</v>
      </c>
    </row>
    <row r="328" spans="1:13" ht="31.2">
      <c r="A328" s="30" t="s">
        <v>78</v>
      </c>
      <c r="B328" s="19" t="s">
        <v>5</v>
      </c>
      <c r="C328" s="19" t="s">
        <v>36</v>
      </c>
      <c r="D328" s="19" t="s">
        <v>32</v>
      </c>
      <c r="E328" s="19"/>
      <c r="F328" s="20"/>
      <c r="G328" s="19"/>
      <c r="H328" s="19"/>
      <c r="I328" s="20"/>
      <c r="J328" s="64">
        <f>J329</f>
        <v>23590</v>
      </c>
      <c r="K328" s="64">
        <f t="shared" ref="K328:L330" si="152">K329</f>
        <v>23590</v>
      </c>
      <c r="L328" s="64">
        <f t="shared" si="152"/>
        <v>10590</v>
      </c>
      <c r="M328" s="180">
        <f t="shared" si="127"/>
        <v>13000</v>
      </c>
    </row>
    <row r="329" spans="1:13" ht="109.2">
      <c r="A329" s="21" t="s">
        <v>288</v>
      </c>
      <c r="B329" s="19" t="s">
        <v>5</v>
      </c>
      <c r="C329" s="19" t="s">
        <v>36</v>
      </c>
      <c r="D329" s="19" t="s">
        <v>32</v>
      </c>
      <c r="E329" s="19" t="s">
        <v>50</v>
      </c>
      <c r="F329" s="20">
        <v>0</v>
      </c>
      <c r="G329" s="19" t="s">
        <v>15</v>
      </c>
      <c r="H329" s="19" t="s">
        <v>16</v>
      </c>
      <c r="I329" s="20"/>
      <c r="J329" s="64">
        <f>J330</f>
        <v>23590</v>
      </c>
      <c r="K329" s="64">
        <f t="shared" si="152"/>
        <v>23590</v>
      </c>
      <c r="L329" s="64">
        <f t="shared" si="152"/>
        <v>10590</v>
      </c>
      <c r="M329" s="180">
        <f t="shared" si="127"/>
        <v>13000</v>
      </c>
    </row>
    <row r="330" spans="1:13" ht="31.2">
      <c r="A330" s="22" t="s">
        <v>289</v>
      </c>
      <c r="B330" s="19" t="s">
        <v>5</v>
      </c>
      <c r="C330" s="19" t="s">
        <v>36</v>
      </c>
      <c r="D330" s="19" t="s">
        <v>32</v>
      </c>
      <c r="E330" s="19" t="s">
        <v>50</v>
      </c>
      <c r="F330" s="20">
        <v>0</v>
      </c>
      <c r="G330" s="19" t="s">
        <v>15</v>
      </c>
      <c r="H330" s="19" t="s">
        <v>290</v>
      </c>
      <c r="I330" s="20"/>
      <c r="J330" s="64">
        <f>J331</f>
        <v>23590</v>
      </c>
      <c r="K330" s="64">
        <f t="shared" si="152"/>
        <v>23590</v>
      </c>
      <c r="L330" s="64">
        <f t="shared" si="152"/>
        <v>10590</v>
      </c>
      <c r="M330" s="180">
        <f t="shared" si="127"/>
        <v>13000</v>
      </c>
    </row>
    <row r="331" spans="1:13" ht="31.2">
      <c r="A331" s="22" t="s">
        <v>22</v>
      </c>
      <c r="B331" s="19" t="s">
        <v>5</v>
      </c>
      <c r="C331" s="19" t="s">
        <v>36</v>
      </c>
      <c r="D331" s="19" t="s">
        <v>32</v>
      </c>
      <c r="E331" s="19" t="s">
        <v>50</v>
      </c>
      <c r="F331" s="20">
        <v>0</v>
      </c>
      <c r="G331" s="19" t="s">
        <v>15</v>
      </c>
      <c r="H331" s="19" t="s">
        <v>290</v>
      </c>
      <c r="I331" s="20">
        <v>240</v>
      </c>
      <c r="J331" s="64">
        <f>30000-6410</f>
        <v>23590</v>
      </c>
      <c r="K331" s="64">
        <v>23590</v>
      </c>
      <c r="L331" s="64">
        <v>10590</v>
      </c>
      <c r="M331" s="180">
        <f t="shared" si="127"/>
        <v>13000</v>
      </c>
    </row>
    <row r="332" spans="1:13">
      <c r="A332" s="21" t="s">
        <v>79</v>
      </c>
      <c r="B332" s="19" t="s">
        <v>5</v>
      </c>
      <c r="C332" s="19" t="s">
        <v>36</v>
      </c>
      <c r="D332" s="19" t="s">
        <v>36</v>
      </c>
      <c r="E332" s="19"/>
      <c r="F332" s="20"/>
      <c r="G332" s="19"/>
      <c r="H332" s="19"/>
      <c r="I332" s="20"/>
      <c r="J332" s="63">
        <f>J333</f>
        <v>2505719.2000000002</v>
      </c>
      <c r="K332" s="63">
        <f t="shared" ref="K332:L333" si="153">K333</f>
        <v>2505719.2000000002</v>
      </c>
      <c r="L332" s="63">
        <f t="shared" si="153"/>
        <v>2505719.2000000002</v>
      </c>
      <c r="M332" s="180">
        <f t="shared" si="127"/>
        <v>0</v>
      </c>
    </row>
    <row r="333" spans="1:13" ht="62.4">
      <c r="A333" s="22" t="s">
        <v>291</v>
      </c>
      <c r="B333" s="19" t="s">
        <v>5</v>
      </c>
      <c r="C333" s="19" t="s">
        <v>36</v>
      </c>
      <c r="D333" s="19" t="s">
        <v>36</v>
      </c>
      <c r="E333" s="19" t="s">
        <v>34</v>
      </c>
      <c r="F333" s="20">
        <v>0</v>
      </c>
      <c r="G333" s="19" t="s">
        <v>15</v>
      </c>
      <c r="H333" s="19" t="s">
        <v>16</v>
      </c>
      <c r="I333" s="20"/>
      <c r="J333" s="63">
        <f>J334</f>
        <v>2505719.2000000002</v>
      </c>
      <c r="K333" s="63">
        <f t="shared" si="153"/>
        <v>2505719.2000000002</v>
      </c>
      <c r="L333" s="63">
        <f t="shared" si="153"/>
        <v>2505719.2000000002</v>
      </c>
      <c r="M333" s="180">
        <f t="shared" ref="M333:M396" si="154">J333-L333</f>
        <v>0</v>
      </c>
    </row>
    <row r="334" spans="1:13">
      <c r="A334" s="21" t="s">
        <v>79</v>
      </c>
      <c r="B334" s="19" t="s">
        <v>5</v>
      </c>
      <c r="C334" s="19" t="s">
        <v>36</v>
      </c>
      <c r="D334" s="19" t="s">
        <v>36</v>
      </c>
      <c r="E334" s="19" t="s">
        <v>34</v>
      </c>
      <c r="F334" s="20">
        <v>1</v>
      </c>
      <c r="G334" s="19" t="s">
        <v>15</v>
      </c>
      <c r="H334" s="19" t="s">
        <v>16</v>
      </c>
      <c r="I334" s="20"/>
      <c r="J334" s="63">
        <f>J335+J337</f>
        <v>2505719.2000000002</v>
      </c>
      <c r="K334" s="63">
        <f t="shared" ref="K334:L334" si="155">K335+K337</f>
        <v>2505719.2000000002</v>
      </c>
      <c r="L334" s="63">
        <f t="shared" si="155"/>
        <v>2505719.2000000002</v>
      </c>
      <c r="M334" s="180">
        <f t="shared" si="154"/>
        <v>0</v>
      </c>
    </row>
    <row r="335" spans="1:13" ht="31.2">
      <c r="A335" s="21" t="s">
        <v>294</v>
      </c>
      <c r="B335" s="19" t="s">
        <v>5</v>
      </c>
      <c r="C335" s="19" t="s">
        <v>36</v>
      </c>
      <c r="D335" s="19" t="s">
        <v>36</v>
      </c>
      <c r="E335" s="19" t="s">
        <v>34</v>
      </c>
      <c r="F335" s="20">
        <v>1</v>
      </c>
      <c r="G335" s="19" t="s">
        <v>15</v>
      </c>
      <c r="H335" s="19" t="s">
        <v>295</v>
      </c>
      <c r="I335" s="20"/>
      <c r="J335" s="63">
        <f>J336</f>
        <v>2406775</v>
      </c>
      <c r="K335" s="63">
        <f t="shared" ref="K335:L335" si="156">K336</f>
        <v>2406775</v>
      </c>
      <c r="L335" s="63">
        <f t="shared" si="156"/>
        <v>2406775</v>
      </c>
      <c r="M335" s="180">
        <f t="shared" si="154"/>
        <v>0</v>
      </c>
    </row>
    <row r="336" spans="1:13">
      <c r="A336" s="22" t="s">
        <v>53</v>
      </c>
      <c r="B336" s="19" t="s">
        <v>5</v>
      </c>
      <c r="C336" s="19" t="s">
        <v>36</v>
      </c>
      <c r="D336" s="19" t="s">
        <v>36</v>
      </c>
      <c r="E336" s="19" t="s">
        <v>34</v>
      </c>
      <c r="F336" s="20">
        <v>1</v>
      </c>
      <c r="G336" s="19" t="s">
        <v>15</v>
      </c>
      <c r="H336" s="19" t="s">
        <v>295</v>
      </c>
      <c r="I336" s="20">
        <v>520</v>
      </c>
      <c r="J336" s="63">
        <f>2365900+40875</f>
        <v>2406775</v>
      </c>
      <c r="K336" s="63">
        <v>2406775</v>
      </c>
      <c r="L336" s="63">
        <v>2406775</v>
      </c>
      <c r="M336" s="180">
        <f t="shared" si="154"/>
        <v>0</v>
      </c>
    </row>
    <row r="337" spans="1:13" ht="31.2">
      <c r="A337" s="21" t="s">
        <v>292</v>
      </c>
      <c r="B337" s="19" t="s">
        <v>5</v>
      </c>
      <c r="C337" s="19" t="s">
        <v>36</v>
      </c>
      <c r="D337" s="19" t="s">
        <v>36</v>
      </c>
      <c r="E337" s="19" t="s">
        <v>34</v>
      </c>
      <c r="F337" s="20">
        <v>1</v>
      </c>
      <c r="G337" s="19" t="s">
        <v>15</v>
      </c>
      <c r="H337" s="19" t="s">
        <v>293</v>
      </c>
      <c r="I337" s="20"/>
      <c r="J337" s="63">
        <f>J338</f>
        <v>98944.200000000012</v>
      </c>
      <c r="K337" s="63">
        <f t="shared" ref="K337:L337" si="157">K338</f>
        <v>98944.2</v>
      </c>
      <c r="L337" s="63">
        <f t="shared" si="157"/>
        <v>98944.2</v>
      </c>
      <c r="M337" s="180">
        <f t="shared" si="154"/>
        <v>0</v>
      </c>
    </row>
    <row r="338" spans="1:13">
      <c r="A338" s="21" t="s">
        <v>285</v>
      </c>
      <c r="B338" s="19" t="s">
        <v>5</v>
      </c>
      <c r="C338" s="19" t="s">
        <v>36</v>
      </c>
      <c r="D338" s="19" t="s">
        <v>36</v>
      </c>
      <c r="E338" s="19" t="s">
        <v>34</v>
      </c>
      <c r="F338" s="20">
        <v>1</v>
      </c>
      <c r="G338" s="19" t="s">
        <v>15</v>
      </c>
      <c r="H338" s="19" t="s">
        <v>293</v>
      </c>
      <c r="I338" s="20">
        <v>110</v>
      </c>
      <c r="J338" s="63">
        <f>99993.6-1049.4</f>
        <v>98944.200000000012</v>
      </c>
      <c r="K338" s="63">
        <f>75994.04+22950.16</f>
        <v>98944.2</v>
      </c>
      <c r="L338" s="63">
        <f>75994.04+22950.16</f>
        <v>98944.2</v>
      </c>
      <c r="M338" s="180">
        <f t="shared" si="154"/>
        <v>0</v>
      </c>
    </row>
    <row r="339" spans="1:13">
      <c r="A339" s="29" t="s">
        <v>296</v>
      </c>
      <c r="B339" s="19" t="s">
        <v>5</v>
      </c>
      <c r="C339" s="19" t="s">
        <v>64</v>
      </c>
      <c r="D339" s="19"/>
      <c r="E339" s="19"/>
      <c r="F339" s="20"/>
      <c r="G339" s="19"/>
      <c r="H339" s="19"/>
      <c r="I339" s="20"/>
      <c r="J339" s="63">
        <f>J340+J383</f>
        <v>38691733.999999993</v>
      </c>
      <c r="K339" s="63">
        <f>K340+K383</f>
        <v>39241585.68999999</v>
      </c>
      <c r="L339" s="63">
        <f>L340+L383</f>
        <v>30049062.470000003</v>
      </c>
      <c r="M339" s="180">
        <f t="shared" si="154"/>
        <v>8642671.52999999</v>
      </c>
    </row>
    <row r="340" spans="1:13">
      <c r="A340" s="21" t="s">
        <v>80</v>
      </c>
      <c r="B340" s="19" t="s">
        <v>5</v>
      </c>
      <c r="C340" s="19" t="s">
        <v>64</v>
      </c>
      <c r="D340" s="20" t="s">
        <v>12</v>
      </c>
      <c r="E340" s="19" t="s">
        <v>93</v>
      </c>
      <c r="F340" s="20"/>
      <c r="G340" s="19"/>
      <c r="H340" s="19"/>
      <c r="I340" s="20" t="s">
        <v>94</v>
      </c>
      <c r="J340" s="63">
        <f>J371+J341+J359+J367</f>
        <v>38283512.339999996</v>
      </c>
      <c r="K340" s="63">
        <f>K371+K341+K359+K367</f>
        <v>38833364.029999994</v>
      </c>
      <c r="L340" s="63">
        <f>L371+L341+L359+L367</f>
        <v>29640840.810000002</v>
      </c>
      <c r="M340" s="180">
        <f t="shared" si="154"/>
        <v>8642671.5299999937</v>
      </c>
    </row>
    <row r="341" spans="1:13" ht="62.4">
      <c r="A341" s="22" t="s">
        <v>291</v>
      </c>
      <c r="B341" s="19" t="s">
        <v>5</v>
      </c>
      <c r="C341" s="19" t="s">
        <v>64</v>
      </c>
      <c r="D341" s="19" t="s">
        <v>12</v>
      </c>
      <c r="E341" s="19" t="s">
        <v>34</v>
      </c>
      <c r="F341" s="20">
        <v>0</v>
      </c>
      <c r="G341" s="19" t="s">
        <v>15</v>
      </c>
      <c r="H341" s="19" t="s">
        <v>16</v>
      </c>
      <c r="I341" s="20"/>
      <c r="J341" s="63">
        <f>J342+J354</f>
        <v>37007320.879999995</v>
      </c>
      <c r="K341" s="63">
        <f>K342+K354</f>
        <v>37007320.879999995</v>
      </c>
      <c r="L341" s="63">
        <f>L342+L354</f>
        <v>27819821.660000004</v>
      </c>
      <c r="M341" s="180">
        <f t="shared" si="154"/>
        <v>9187499.2199999914</v>
      </c>
    </row>
    <row r="342" spans="1:13">
      <c r="A342" s="22" t="s">
        <v>297</v>
      </c>
      <c r="B342" s="19" t="s">
        <v>5</v>
      </c>
      <c r="C342" s="19" t="s">
        <v>64</v>
      </c>
      <c r="D342" s="19" t="s">
        <v>12</v>
      </c>
      <c r="E342" s="19" t="s">
        <v>34</v>
      </c>
      <c r="F342" s="20">
        <v>2</v>
      </c>
      <c r="G342" s="19" t="s">
        <v>15</v>
      </c>
      <c r="H342" s="19" t="s">
        <v>16</v>
      </c>
      <c r="I342" s="20"/>
      <c r="J342" s="63">
        <f>J343+J349+J347+J351</f>
        <v>24572766.329999998</v>
      </c>
      <c r="K342" s="63">
        <f>K343+K349+K347+K351</f>
        <v>24572766.329999998</v>
      </c>
      <c r="L342" s="63">
        <f>L343+L349+L347+L351</f>
        <v>15907264.4</v>
      </c>
      <c r="M342" s="180">
        <f t="shared" si="154"/>
        <v>8665501.9299999978</v>
      </c>
    </row>
    <row r="343" spans="1:13" ht="31.2">
      <c r="A343" s="22" t="s">
        <v>283</v>
      </c>
      <c r="B343" s="19" t="s">
        <v>5</v>
      </c>
      <c r="C343" s="19" t="s">
        <v>64</v>
      </c>
      <c r="D343" s="19" t="s">
        <v>12</v>
      </c>
      <c r="E343" s="19" t="s">
        <v>34</v>
      </c>
      <c r="F343" s="20">
        <v>2</v>
      </c>
      <c r="G343" s="19" t="s">
        <v>15</v>
      </c>
      <c r="H343" s="19" t="s">
        <v>284</v>
      </c>
      <c r="I343" s="20"/>
      <c r="J343" s="63">
        <f>SUM(J344:J346)</f>
        <v>17587994.169999998</v>
      </c>
      <c r="K343" s="63">
        <f t="shared" ref="K343:L343" si="158">SUM(K344:K346)</f>
        <v>17587994.169999998</v>
      </c>
      <c r="L343" s="63">
        <f t="shared" si="158"/>
        <v>9346605.2400000021</v>
      </c>
      <c r="M343" s="180">
        <f t="shared" si="154"/>
        <v>8241388.929999996</v>
      </c>
    </row>
    <row r="344" spans="1:13">
      <c r="A344" s="21" t="s">
        <v>285</v>
      </c>
      <c r="B344" s="19" t="s">
        <v>5</v>
      </c>
      <c r="C344" s="19" t="s">
        <v>64</v>
      </c>
      <c r="D344" s="19" t="s">
        <v>12</v>
      </c>
      <c r="E344" s="19" t="s">
        <v>34</v>
      </c>
      <c r="F344" s="20">
        <v>2</v>
      </c>
      <c r="G344" s="19" t="s">
        <v>15</v>
      </c>
      <c r="H344" s="19" t="s">
        <v>284</v>
      </c>
      <c r="I344" s="20">
        <v>110</v>
      </c>
      <c r="J344" s="63">
        <v>2643203.48</v>
      </c>
      <c r="K344" s="63">
        <f>1646510.2+497246.08</f>
        <v>2143756.2799999998</v>
      </c>
      <c r="L344" s="63">
        <f>1490504.02+452113.7</f>
        <v>1942617.72</v>
      </c>
      <c r="M344" s="180">
        <f t="shared" si="154"/>
        <v>700585.76</v>
      </c>
    </row>
    <row r="345" spans="1:13" ht="31.2">
      <c r="A345" s="22" t="s">
        <v>22</v>
      </c>
      <c r="B345" s="19" t="s">
        <v>5</v>
      </c>
      <c r="C345" s="19" t="s">
        <v>64</v>
      </c>
      <c r="D345" s="19" t="s">
        <v>12</v>
      </c>
      <c r="E345" s="19" t="s">
        <v>34</v>
      </c>
      <c r="F345" s="20">
        <v>2</v>
      </c>
      <c r="G345" s="19" t="s">
        <v>15</v>
      </c>
      <c r="H345" s="19" t="s">
        <v>284</v>
      </c>
      <c r="I345" s="20">
        <v>240</v>
      </c>
      <c r="J345" s="63">
        <f>7792090.69+2500000+532700+500000+3600000+17963.62</f>
        <v>14942754.310000001</v>
      </c>
      <c r="K345" s="63">
        <f>389257.53+13755990.11+896953.87+400000</f>
        <v>15442201.509999998</v>
      </c>
      <c r="L345" s="63">
        <f>369511.08+5952853.94+782997.24+296588.88</f>
        <v>7401951.1400000006</v>
      </c>
      <c r="M345" s="180">
        <f t="shared" si="154"/>
        <v>7540803.1699999999</v>
      </c>
    </row>
    <row r="346" spans="1:13">
      <c r="A346" s="21" t="s">
        <v>24</v>
      </c>
      <c r="B346" s="19" t="s">
        <v>5</v>
      </c>
      <c r="C346" s="19" t="s">
        <v>64</v>
      </c>
      <c r="D346" s="19" t="s">
        <v>12</v>
      </c>
      <c r="E346" s="19" t="s">
        <v>34</v>
      </c>
      <c r="F346" s="20">
        <v>2</v>
      </c>
      <c r="G346" s="19" t="s">
        <v>15</v>
      </c>
      <c r="H346" s="19" t="s">
        <v>284</v>
      </c>
      <c r="I346" s="20">
        <v>850</v>
      </c>
      <c r="J346" s="63">
        <f>20000-17963.62</f>
        <v>2036.380000000001</v>
      </c>
      <c r="K346" s="63">
        <f>2000+36.38</f>
        <v>2036.38</v>
      </c>
      <c r="L346" s="63">
        <f>2000+36.38</f>
        <v>2036.38</v>
      </c>
      <c r="M346" s="180">
        <f t="shared" si="154"/>
        <v>0</v>
      </c>
    </row>
    <row r="347" spans="1:13" ht="31.2">
      <c r="A347" s="22" t="s">
        <v>300</v>
      </c>
      <c r="B347" s="19" t="s">
        <v>5</v>
      </c>
      <c r="C347" s="19" t="s">
        <v>64</v>
      </c>
      <c r="D347" s="19" t="s">
        <v>12</v>
      </c>
      <c r="E347" s="19" t="s">
        <v>34</v>
      </c>
      <c r="F347" s="19" t="s">
        <v>20</v>
      </c>
      <c r="G347" s="19" t="s">
        <v>15</v>
      </c>
      <c r="H347" s="19" t="s">
        <v>301</v>
      </c>
      <c r="I347" s="19"/>
      <c r="J347" s="64">
        <f>J348</f>
        <v>297715.83</v>
      </c>
      <c r="K347" s="64">
        <f t="shared" ref="K347:L347" si="159">K348</f>
        <v>297715.83</v>
      </c>
      <c r="L347" s="64">
        <f t="shared" si="159"/>
        <v>230509.37</v>
      </c>
      <c r="M347" s="180">
        <f t="shared" si="154"/>
        <v>67206.460000000021</v>
      </c>
    </row>
    <row r="348" spans="1:13" ht="31.2">
      <c r="A348" s="22" t="s">
        <v>22</v>
      </c>
      <c r="B348" s="19" t="s">
        <v>5</v>
      </c>
      <c r="C348" s="19" t="s">
        <v>64</v>
      </c>
      <c r="D348" s="19" t="s">
        <v>12</v>
      </c>
      <c r="E348" s="19" t="s">
        <v>34</v>
      </c>
      <c r="F348" s="19" t="s">
        <v>20</v>
      </c>
      <c r="G348" s="19" t="s">
        <v>15</v>
      </c>
      <c r="H348" s="19" t="s">
        <v>301</v>
      </c>
      <c r="I348" s="19" t="s">
        <v>23</v>
      </c>
      <c r="J348" s="64">
        <v>297715.83</v>
      </c>
      <c r="K348" s="64">
        <v>297715.83</v>
      </c>
      <c r="L348" s="64">
        <v>230509.37</v>
      </c>
      <c r="M348" s="180">
        <f t="shared" si="154"/>
        <v>67206.460000000021</v>
      </c>
    </row>
    <row r="349" spans="1:13" ht="46.8">
      <c r="A349" s="22" t="s">
        <v>298</v>
      </c>
      <c r="B349" s="19" t="s">
        <v>5</v>
      </c>
      <c r="C349" s="19" t="s">
        <v>64</v>
      </c>
      <c r="D349" s="19" t="s">
        <v>12</v>
      </c>
      <c r="E349" s="19" t="s">
        <v>34</v>
      </c>
      <c r="F349" s="19" t="s">
        <v>20</v>
      </c>
      <c r="G349" s="19" t="s">
        <v>15</v>
      </c>
      <c r="H349" s="19" t="s">
        <v>299</v>
      </c>
      <c r="I349" s="19"/>
      <c r="J349" s="64">
        <f>J350</f>
        <v>1687056.33</v>
      </c>
      <c r="K349" s="64">
        <f t="shared" ref="K349:L349" si="160">K350</f>
        <v>1687056.33</v>
      </c>
      <c r="L349" s="64">
        <f t="shared" si="160"/>
        <v>1330149.79</v>
      </c>
      <c r="M349" s="180">
        <f t="shared" si="154"/>
        <v>356906.54000000004</v>
      </c>
    </row>
    <row r="350" spans="1:13" ht="31.2">
      <c r="A350" s="22" t="s">
        <v>22</v>
      </c>
      <c r="B350" s="19" t="s">
        <v>5</v>
      </c>
      <c r="C350" s="19" t="s">
        <v>64</v>
      </c>
      <c r="D350" s="19" t="s">
        <v>12</v>
      </c>
      <c r="E350" s="19" t="s">
        <v>34</v>
      </c>
      <c r="F350" s="19" t="s">
        <v>20</v>
      </c>
      <c r="G350" s="19" t="s">
        <v>15</v>
      </c>
      <c r="H350" s="19" t="s">
        <v>299</v>
      </c>
      <c r="I350" s="19" t="s">
        <v>23</v>
      </c>
      <c r="J350" s="64">
        <v>1687056.33</v>
      </c>
      <c r="K350" s="64">
        <v>1687056.33</v>
      </c>
      <c r="L350" s="64">
        <v>1330149.79</v>
      </c>
      <c r="M350" s="180">
        <f t="shared" si="154"/>
        <v>356906.54000000004</v>
      </c>
    </row>
    <row r="351" spans="1:13">
      <c r="A351" s="22" t="s">
        <v>397</v>
      </c>
      <c r="B351" s="69" t="s">
        <v>5</v>
      </c>
      <c r="C351" s="69" t="s">
        <v>64</v>
      </c>
      <c r="D351" s="69" t="s">
        <v>12</v>
      </c>
      <c r="E351" s="69" t="s">
        <v>34</v>
      </c>
      <c r="F351" s="69" t="s">
        <v>20</v>
      </c>
      <c r="G351" s="69" t="s">
        <v>392</v>
      </c>
      <c r="H351" s="69" t="s">
        <v>16</v>
      </c>
      <c r="I351" s="69"/>
      <c r="J351" s="64">
        <f>J352</f>
        <v>5000000</v>
      </c>
      <c r="K351" s="64">
        <f t="shared" ref="K351:L352" si="161">K352</f>
        <v>5000000</v>
      </c>
      <c r="L351" s="64">
        <f t="shared" si="161"/>
        <v>5000000</v>
      </c>
      <c r="M351" s="180">
        <f t="shared" si="154"/>
        <v>0</v>
      </c>
    </row>
    <row r="352" spans="1:13">
      <c r="A352" s="22" t="s">
        <v>398</v>
      </c>
      <c r="B352" s="69" t="s">
        <v>5</v>
      </c>
      <c r="C352" s="69" t="s">
        <v>64</v>
      </c>
      <c r="D352" s="69" t="s">
        <v>12</v>
      </c>
      <c r="E352" s="69" t="s">
        <v>34</v>
      </c>
      <c r="F352" s="69" t="s">
        <v>20</v>
      </c>
      <c r="G352" s="69" t="s">
        <v>392</v>
      </c>
      <c r="H352" s="69" t="s">
        <v>393</v>
      </c>
      <c r="I352" s="69"/>
      <c r="J352" s="64">
        <f>J353</f>
        <v>5000000</v>
      </c>
      <c r="K352" s="64">
        <f t="shared" si="161"/>
        <v>5000000</v>
      </c>
      <c r="L352" s="64">
        <f t="shared" si="161"/>
        <v>5000000</v>
      </c>
      <c r="M352" s="180">
        <f t="shared" si="154"/>
        <v>0</v>
      </c>
    </row>
    <row r="353" spans="1:13" ht="31.2">
      <c r="A353" s="22" t="s">
        <v>22</v>
      </c>
      <c r="B353" s="69" t="s">
        <v>5</v>
      </c>
      <c r="C353" s="69" t="s">
        <v>64</v>
      </c>
      <c r="D353" s="69" t="s">
        <v>12</v>
      </c>
      <c r="E353" s="69" t="s">
        <v>34</v>
      </c>
      <c r="F353" s="69" t="s">
        <v>20</v>
      </c>
      <c r="G353" s="69" t="s">
        <v>392</v>
      </c>
      <c r="H353" s="69" t="s">
        <v>393</v>
      </c>
      <c r="I353" s="69" t="s">
        <v>23</v>
      </c>
      <c r="J353" s="64">
        <v>5000000</v>
      </c>
      <c r="K353" s="64">
        <f>1819152.66+3180847.34</f>
        <v>5000000</v>
      </c>
      <c r="L353" s="64">
        <f>1819152.66+3180847.34</f>
        <v>5000000</v>
      </c>
      <c r="M353" s="180">
        <f t="shared" si="154"/>
        <v>0</v>
      </c>
    </row>
    <row r="354" spans="1:13">
      <c r="A354" s="22" t="s">
        <v>302</v>
      </c>
      <c r="B354" s="19" t="s">
        <v>5</v>
      </c>
      <c r="C354" s="19" t="s">
        <v>64</v>
      </c>
      <c r="D354" s="19" t="s">
        <v>12</v>
      </c>
      <c r="E354" s="19" t="s">
        <v>34</v>
      </c>
      <c r="F354" s="20">
        <v>5</v>
      </c>
      <c r="G354" s="19" t="s">
        <v>15</v>
      </c>
      <c r="H354" s="19" t="s">
        <v>16</v>
      </c>
      <c r="I354" s="20"/>
      <c r="J354" s="63">
        <f>J355+J357</f>
        <v>12434554.550000001</v>
      </c>
      <c r="K354" s="63">
        <f t="shared" ref="K354:L354" si="162">K355+K357</f>
        <v>12434554.550000001</v>
      </c>
      <c r="L354" s="63">
        <f t="shared" si="162"/>
        <v>11912557.260000002</v>
      </c>
      <c r="M354" s="180">
        <f t="shared" si="154"/>
        <v>521997.28999999911</v>
      </c>
    </row>
    <row r="355" spans="1:13" ht="31.2">
      <c r="A355" s="22" t="s">
        <v>283</v>
      </c>
      <c r="B355" s="19" t="s">
        <v>5</v>
      </c>
      <c r="C355" s="19" t="s">
        <v>64</v>
      </c>
      <c r="D355" s="19" t="s">
        <v>12</v>
      </c>
      <c r="E355" s="19" t="s">
        <v>34</v>
      </c>
      <c r="F355" s="20">
        <v>5</v>
      </c>
      <c r="G355" s="19" t="s">
        <v>15</v>
      </c>
      <c r="H355" s="19" t="s">
        <v>284</v>
      </c>
      <c r="I355" s="20"/>
      <c r="J355" s="63">
        <f>J356</f>
        <v>12434554.550000001</v>
      </c>
      <c r="K355" s="63">
        <f t="shared" ref="K355:L355" si="163">K356</f>
        <v>12434554.550000001</v>
      </c>
      <c r="L355" s="63">
        <f t="shared" si="163"/>
        <v>11912557.260000002</v>
      </c>
      <c r="M355" s="180">
        <f t="shared" si="154"/>
        <v>521997.28999999911</v>
      </c>
    </row>
    <row r="356" spans="1:13">
      <c r="A356" s="21" t="s">
        <v>65</v>
      </c>
      <c r="B356" s="19" t="s">
        <v>5</v>
      </c>
      <c r="C356" s="19" t="s">
        <v>64</v>
      </c>
      <c r="D356" s="19" t="s">
        <v>12</v>
      </c>
      <c r="E356" s="19" t="s">
        <v>34</v>
      </c>
      <c r="F356" s="20">
        <v>5</v>
      </c>
      <c r="G356" s="19" t="s">
        <v>15</v>
      </c>
      <c r="H356" s="19" t="s">
        <v>284</v>
      </c>
      <c r="I356" s="20">
        <v>620</v>
      </c>
      <c r="J356" s="63">
        <f>13406040.76-971486.21</f>
        <v>12434554.550000001</v>
      </c>
      <c r="K356" s="63">
        <f>11080659.49+1353895.06</f>
        <v>12434554.550000001</v>
      </c>
      <c r="L356" s="63">
        <f>10561164.72+1351392.54</f>
        <v>11912557.260000002</v>
      </c>
      <c r="M356" s="180">
        <f t="shared" si="154"/>
        <v>521997.28999999911</v>
      </c>
    </row>
    <row r="357" spans="1:13" ht="93.6" hidden="1">
      <c r="A357" s="21" t="s">
        <v>303</v>
      </c>
      <c r="B357" s="19" t="s">
        <v>5</v>
      </c>
      <c r="C357" s="19" t="s">
        <v>64</v>
      </c>
      <c r="D357" s="19" t="s">
        <v>12</v>
      </c>
      <c r="E357" s="19" t="s">
        <v>34</v>
      </c>
      <c r="F357" s="20">
        <v>5</v>
      </c>
      <c r="G357" s="19" t="s">
        <v>15</v>
      </c>
      <c r="H357" s="19" t="s">
        <v>304</v>
      </c>
      <c r="I357" s="20"/>
      <c r="J357" s="63">
        <f>J358</f>
        <v>0</v>
      </c>
      <c r="K357" s="63">
        <f t="shared" ref="K357:L357" si="164">K358</f>
        <v>0</v>
      </c>
      <c r="L357" s="63">
        <f t="shared" si="164"/>
        <v>0</v>
      </c>
      <c r="M357" s="180">
        <f t="shared" si="154"/>
        <v>0</v>
      </c>
    </row>
    <row r="358" spans="1:13" hidden="1">
      <c r="A358" s="21" t="s">
        <v>116</v>
      </c>
      <c r="B358" s="19" t="s">
        <v>5</v>
      </c>
      <c r="C358" s="19" t="s">
        <v>64</v>
      </c>
      <c r="D358" s="19" t="s">
        <v>12</v>
      </c>
      <c r="E358" s="19" t="s">
        <v>34</v>
      </c>
      <c r="F358" s="20">
        <v>5</v>
      </c>
      <c r="G358" s="19" t="s">
        <v>15</v>
      </c>
      <c r="H358" s="19" t="s">
        <v>304</v>
      </c>
      <c r="I358" s="20">
        <v>540</v>
      </c>
      <c r="J358" s="63"/>
      <c r="K358" s="63"/>
      <c r="L358" s="63"/>
      <c r="M358" s="180">
        <f t="shared" si="154"/>
        <v>0</v>
      </c>
    </row>
    <row r="359" spans="1:13" ht="62.4">
      <c r="A359" s="21" t="s">
        <v>141</v>
      </c>
      <c r="B359" s="19" t="s">
        <v>5</v>
      </c>
      <c r="C359" s="19" t="s">
        <v>64</v>
      </c>
      <c r="D359" s="19" t="s">
        <v>12</v>
      </c>
      <c r="E359" s="19" t="s">
        <v>36</v>
      </c>
      <c r="F359" s="20">
        <v>0</v>
      </c>
      <c r="G359" s="19" t="s">
        <v>15</v>
      </c>
      <c r="H359" s="19" t="s">
        <v>16</v>
      </c>
      <c r="I359" s="20"/>
      <c r="J359" s="64">
        <f>J360</f>
        <v>76000</v>
      </c>
      <c r="K359" s="64">
        <f t="shared" ref="K359:L359" si="165">K360</f>
        <v>76000</v>
      </c>
      <c r="L359" s="64">
        <f t="shared" si="165"/>
        <v>70976</v>
      </c>
      <c r="M359" s="180">
        <f t="shared" si="154"/>
        <v>5024</v>
      </c>
    </row>
    <row r="360" spans="1:13" ht="31.2">
      <c r="A360" s="21" t="s">
        <v>305</v>
      </c>
      <c r="B360" s="19" t="s">
        <v>5</v>
      </c>
      <c r="C360" s="19" t="s">
        <v>64</v>
      </c>
      <c r="D360" s="19" t="s">
        <v>12</v>
      </c>
      <c r="E360" s="19" t="s">
        <v>36</v>
      </c>
      <c r="F360" s="20">
        <v>3</v>
      </c>
      <c r="G360" s="19" t="s">
        <v>15</v>
      </c>
      <c r="H360" s="19" t="s">
        <v>16</v>
      </c>
      <c r="I360" s="20"/>
      <c r="J360" s="64">
        <f>J362+J364</f>
        <v>76000</v>
      </c>
      <c r="K360" s="64">
        <f t="shared" ref="K360:L360" si="166">K362+K364</f>
        <v>76000</v>
      </c>
      <c r="L360" s="64">
        <f t="shared" si="166"/>
        <v>70976</v>
      </c>
      <c r="M360" s="180">
        <f t="shared" si="154"/>
        <v>5024</v>
      </c>
    </row>
    <row r="361" spans="1:13">
      <c r="A361" s="21" t="s">
        <v>143</v>
      </c>
      <c r="B361" s="19" t="s">
        <v>5</v>
      </c>
      <c r="C361" s="19" t="s">
        <v>64</v>
      </c>
      <c r="D361" s="19" t="s">
        <v>12</v>
      </c>
      <c r="E361" s="19" t="s">
        <v>36</v>
      </c>
      <c r="F361" s="20">
        <v>3</v>
      </c>
      <c r="G361" s="19" t="s">
        <v>12</v>
      </c>
      <c r="H361" s="19" t="s">
        <v>16</v>
      </c>
      <c r="I361" s="20"/>
      <c r="J361" s="64">
        <f>J362</f>
        <v>71000</v>
      </c>
      <c r="K361" s="64">
        <f t="shared" ref="K361:L362" si="167">K362</f>
        <v>71000</v>
      </c>
      <c r="L361" s="64">
        <f t="shared" si="167"/>
        <v>70976</v>
      </c>
      <c r="M361" s="180">
        <f t="shared" si="154"/>
        <v>24</v>
      </c>
    </row>
    <row r="362" spans="1:13" ht="46.8">
      <c r="A362" s="22" t="s">
        <v>144</v>
      </c>
      <c r="B362" s="19" t="s">
        <v>5</v>
      </c>
      <c r="C362" s="19" t="s">
        <v>64</v>
      </c>
      <c r="D362" s="19" t="s">
        <v>12</v>
      </c>
      <c r="E362" s="19" t="s">
        <v>36</v>
      </c>
      <c r="F362" s="19" t="s">
        <v>21</v>
      </c>
      <c r="G362" s="19" t="s">
        <v>12</v>
      </c>
      <c r="H362" s="19" t="s">
        <v>145</v>
      </c>
      <c r="I362" s="19"/>
      <c r="J362" s="64">
        <f>J363</f>
        <v>71000</v>
      </c>
      <c r="K362" s="64">
        <f t="shared" si="167"/>
        <v>71000</v>
      </c>
      <c r="L362" s="64">
        <f t="shared" si="167"/>
        <v>70976</v>
      </c>
      <c r="M362" s="180">
        <f t="shared" si="154"/>
        <v>24</v>
      </c>
    </row>
    <row r="363" spans="1:13" ht="31.2">
      <c r="A363" s="22" t="s">
        <v>22</v>
      </c>
      <c r="B363" s="19" t="s">
        <v>5</v>
      </c>
      <c r="C363" s="19" t="s">
        <v>64</v>
      </c>
      <c r="D363" s="19" t="s">
        <v>12</v>
      </c>
      <c r="E363" s="19" t="s">
        <v>36</v>
      </c>
      <c r="F363" s="19" t="s">
        <v>21</v>
      </c>
      <c r="G363" s="19" t="s">
        <v>12</v>
      </c>
      <c r="H363" s="19" t="s">
        <v>145</v>
      </c>
      <c r="I363" s="19" t="s">
        <v>23</v>
      </c>
      <c r="J363" s="64">
        <f>25000+46000</f>
        <v>71000</v>
      </c>
      <c r="K363" s="64">
        <v>71000</v>
      </c>
      <c r="L363" s="64">
        <v>70976</v>
      </c>
      <c r="M363" s="180">
        <f t="shared" si="154"/>
        <v>24</v>
      </c>
    </row>
    <row r="364" spans="1:13" ht="31.2">
      <c r="A364" s="21" t="s">
        <v>150</v>
      </c>
      <c r="B364" s="19" t="s">
        <v>5</v>
      </c>
      <c r="C364" s="19" t="s">
        <v>64</v>
      </c>
      <c r="D364" s="19" t="s">
        <v>12</v>
      </c>
      <c r="E364" s="19" t="s">
        <v>36</v>
      </c>
      <c r="F364" s="20">
        <v>3</v>
      </c>
      <c r="G364" s="19" t="s">
        <v>13</v>
      </c>
      <c r="H364" s="19" t="s">
        <v>16</v>
      </c>
      <c r="I364" s="20"/>
      <c r="J364" s="64">
        <f>J365</f>
        <v>5000</v>
      </c>
      <c r="K364" s="64">
        <f t="shared" ref="K364:L365" si="168">K365</f>
        <v>5000</v>
      </c>
      <c r="L364" s="64">
        <f t="shared" si="168"/>
        <v>0</v>
      </c>
      <c r="M364" s="180">
        <f t="shared" si="154"/>
        <v>5000</v>
      </c>
    </row>
    <row r="365" spans="1:13" ht="46.8">
      <c r="A365" s="22" t="s">
        <v>144</v>
      </c>
      <c r="B365" s="19" t="s">
        <v>5</v>
      </c>
      <c r="C365" s="19" t="s">
        <v>64</v>
      </c>
      <c r="D365" s="19" t="s">
        <v>12</v>
      </c>
      <c r="E365" s="19" t="s">
        <v>36</v>
      </c>
      <c r="F365" s="19" t="s">
        <v>21</v>
      </c>
      <c r="G365" s="19" t="s">
        <v>13</v>
      </c>
      <c r="H365" s="19" t="s">
        <v>145</v>
      </c>
      <c r="I365" s="19"/>
      <c r="J365" s="64">
        <f>J366</f>
        <v>5000</v>
      </c>
      <c r="K365" s="64">
        <f t="shared" si="168"/>
        <v>5000</v>
      </c>
      <c r="L365" s="64">
        <f t="shared" si="168"/>
        <v>0</v>
      </c>
      <c r="M365" s="180">
        <f t="shared" si="154"/>
        <v>5000</v>
      </c>
    </row>
    <row r="366" spans="1:13" ht="31.2">
      <c r="A366" s="22" t="s">
        <v>22</v>
      </c>
      <c r="B366" s="19" t="s">
        <v>5</v>
      </c>
      <c r="C366" s="19" t="s">
        <v>64</v>
      </c>
      <c r="D366" s="19" t="s">
        <v>12</v>
      </c>
      <c r="E366" s="19" t="s">
        <v>36</v>
      </c>
      <c r="F366" s="19" t="s">
        <v>21</v>
      </c>
      <c r="G366" s="19" t="s">
        <v>13</v>
      </c>
      <c r="H366" s="19" t="s">
        <v>145</v>
      </c>
      <c r="I366" s="19" t="s">
        <v>23</v>
      </c>
      <c r="J366" s="64">
        <v>5000</v>
      </c>
      <c r="K366" s="64">
        <v>5000</v>
      </c>
      <c r="L366" s="64">
        <v>0</v>
      </c>
      <c r="M366" s="180">
        <f t="shared" si="154"/>
        <v>5000</v>
      </c>
    </row>
    <row r="367" spans="1:13" ht="62.4" hidden="1">
      <c r="A367" s="21" t="s">
        <v>156</v>
      </c>
      <c r="B367" s="19" t="s">
        <v>5</v>
      </c>
      <c r="C367" s="19" t="s">
        <v>64</v>
      </c>
      <c r="D367" s="19" t="s">
        <v>12</v>
      </c>
      <c r="E367" s="19" t="s">
        <v>38</v>
      </c>
      <c r="F367" s="20">
        <v>0</v>
      </c>
      <c r="G367" s="19" t="s">
        <v>15</v>
      </c>
      <c r="H367" s="19" t="s">
        <v>16</v>
      </c>
      <c r="I367" s="20"/>
      <c r="J367" s="64">
        <f>J368</f>
        <v>0</v>
      </c>
      <c r="K367" s="64">
        <f t="shared" ref="K367:L369" si="169">K368</f>
        <v>0</v>
      </c>
      <c r="L367" s="64">
        <f t="shared" si="169"/>
        <v>0</v>
      </c>
      <c r="M367" s="180">
        <f t="shared" si="154"/>
        <v>0</v>
      </c>
    </row>
    <row r="368" spans="1:13" hidden="1">
      <c r="A368" s="22" t="s">
        <v>157</v>
      </c>
      <c r="B368" s="19" t="s">
        <v>5</v>
      </c>
      <c r="C368" s="19" t="s">
        <v>64</v>
      </c>
      <c r="D368" s="19" t="s">
        <v>12</v>
      </c>
      <c r="E368" s="19" t="s">
        <v>38</v>
      </c>
      <c r="F368" s="19" t="s">
        <v>14</v>
      </c>
      <c r="G368" s="19" t="s">
        <v>12</v>
      </c>
      <c r="H368" s="19" t="s">
        <v>16</v>
      </c>
      <c r="I368" s="19"/>
      <c r="J368" s="64">
        <f>J369</f>
        <v>0</v>
      </c>
      <c r="K368" s="64">
        <f t="shared" si="169"/>
        <v>0</v>
      </c>
      <c r="L368" s="64">
        <f t="shared" si="169"/>
        <v>0</v>
      </c>
      <c r="M368" s="180">
        <f t="shared" si="154"/>
        <v>0</v>
      </c>
    </row>
    <row r="369" spans="1:13" ht="31.2" hidden="1">
      <c r="A369" s="22" t="s">
        <v>158</v>
      </c>
      <c r="B369" s="19" t="s">
        <v>5</v>
      </c>
      <c r="C369" s="19" t="s">
        <v>64</v>
      </c>
      <c r="D369" s="19" t="s">
        <v>12</v>
      </c>
      <c r="E369" s="19" t="s">
        <v>38</v>
      </c>
      <c r="F369" s="19" t="s">
        <v>14</v>
      </c>
      <c r="G369" s="19" t="s">
        <v>12</v>
      </c>
      <c r="H369" s="19" t="s">
        <v>159</v>
      </c>
      <c r="I369" s="19"/>
      <c r="J369" s="64">
        <f>J370</f>
        <v>0</v>
      </c>
      <c r="K369" s="64">
        <f t="shared" si="169"/>
        <v>0</v>
      </c>
      <c r="L369" s="64">
        <f t="shared" si="169"/>
        <v>0</v>
      </c>
      <c r="M369" s="180">
        <f t="shared" si="154"/>
        <v>0</v>
      </c>
    </row>
    <row r="370" spans="1:13" ht="31.2" hidden="1">
      <c r="A370" s="22" t="s">
        <v>22</v>
      </c>
      <c r="B370" s="19" t="s">
        <v>5</v>
      </c>
      <c r="C370" s="19" t="s">
        <v>64</v>
      </c>
      <c r="D370" s="19" t="s">
        <v>12</v>
      </c>
      <c r="E370" s="19" t="s">
        <v>38</v>
      </c>
      <c r="F370" s="19" t="s">
        <v>14</v>
      </c>
      <c r="G370" s="19" t="s">
        <v>12</v>
      </c>
      <c r="H370" s="19" t="s">
        <v>159</v>
      </c>
      <c r="I370" s="19" t="s">
        <v>23</v>
      </c>
      <c r="J370" s="64">
        <f>10000-10000</f>
        <v>0</v>
      </c>
      <c r="K370" s="64">
        <f t="shared" ref="K370:L370" si="170">10000-10000</f>
        <v>0</v>
      </c>
      <c r="L370" s="64">
        <f t="shared" si="170"/>
        <v>0</v>
      </c>
      <c r="M370" s="180">
        <f t="shared" si="154"/>
        <v>0</v>
      </c>
    </row>
    <row r="371" spans="1:13">
      <c r="A371" s="22" t="s">
        <v>27</v>
      </c>
      <c r="B371" s="19" t="s">
        <v>5</v>
      </c>
      <c r="C371" s="19" t="s">
        <v>64</v>
      </c>
      <c r="D371" s="19" t="s">
        <v>12</v>
      </c>
      <c r="E371" s="19" t="s">
        <v>28</v>
      </c>
      <c r="F371" s="20">
        <v>0</v>
      </c>
      <c r="G371" s="19" t="s">
        <v>14</v>
      </c>
      <c r="H371" s="19" t="s">
        <v>16</v>
      </c>
      <c r="I371" s="20"/>
      <c r="J371" s="63">
        <f>J372</f>
        <v>1200191.46</v>
      </c>
      <c r="K371" s="63">
        <f t="shared" ref="K371:L371" si="171">K372</f>
        <v>1750043.15</v>
      </c>
      <c r="L371" s="63">
        <f t="shared" si="171"/>
        <v>1750043.15</v>
      </c>
      <c r="M371" s="180">
        <f t="shared" si="154"/>
        <v>-549851.68999999994</v>
      </c>
    </row>
    <row r="372" spans="1:13">
      <c r="A372" s="22" t="s">
        <v>174</v>
      </c>
      <c r="B372" s="19" t="s">
        <v>5</v>
      </c>
      <c r="C372" s="19" t="s">
        <v>64</v>
      </c>
      <c r="D372" s="19" t="s">
        <v>12</v>
      </c>
      <c r="E372" s="19" t="s">
        <v>28</v>
      </c>
      <c r="F372" s="20">
        <v>9</v>
      </c>
      <c r="G372" s="19" t="s">
        <v>14</v>
      </c>
      <c r="H372" s="19" t="s">
        <v>16</v>
      </c>
      <c r="I372" s="20"/>
      <c r="J372" s="63">
        <f>J373+J375+J377+J380</f>
        <v>1200191.46</v>
      </c>
      <c r="K372" s="63">
        <f t="shared" ref="K372:L372" si="172">K373+K375+K377+K380</f>
        <v>1750043.15</v>
      </c>
      <c r="L372" s="63">
        <f t="shared" si="172"/>
        <v>1750043.15</v>
      </c>
      <c r="M372" s="180">
        <f t="shared" si="154"/>
        <v>-549851.68999999994</v>
      </c>
    </row>
    <row r="373" spans="1:13" ht="31.2" hidden="1">
      <c r="A373" s="22" t="s">
        <v>306</v>
      </c>
      <c r="B373" s="19" t="s">
        <v>5</v>
      </c>
      <c r="C373" s="19" t="s">
        <v>64</v>
      </c>
      <c r="D373" s="19" t="s">
        <v>12</v>
      </c>
      <c r="E373" s="19" t="s">
        <v>28</v>
      </c>
      <c r="F373" s="20">
        <v>9</v>
      </c>
      <c r="G373" s="19" t="s">
        <v>14</v>
      </c>
      <c r="H373" s="19" t="s">
        <v>307</v>
      </c>
      <c r="I373" s="20"/>
      <c r="J373" s="63">
        <f>J374</f>
        <v>0</v>
      </c>
      <c r="K373" s="63">
        <f t="shared" ref="K373:L373" si="173">K374</f>
        <v>0</v>
      </c>
      <c r="L373" s="63">
        <f t="shared" si="173"/>
        <v>0</v>
      </c>
      <c r="M373" s="180">
        <f t="shared" si="154"/>
        <v>0</v>
      </c>
    </row>
    <row r="374" spans="1:13" ht="31.2" hidden="1">
      <c r="A374" s="22" t="s">
        <v>22</v>
      </c>
      <c r="B374" s="19" t="s">
        <v>5</v>
      </c>
      <c r="C374" s="19" t="s">
        <v>64</v>
      </c>
      <c r="D374" s="19" t="s">
        <v>12</v>
      </c>
      <c r="E374" s="19" t="s">
        <v>28</v>
      </c>
      <c r="F374" s="20">
        <v>9</v>
      </c>
      <c r="G374" s="19" t="s">
        <v>14</v>
      </c>
      <c r="H374" s="19" t="s">
        <v>307</v>
      </c>
      <c r="I374" s="20">
        <v>240</v>
      </c>
      <c r="J374" s="63"/>
      <c r="K374" s="63"/>
      <c r="L374" s="63"/>
      <c r="M374" s="180">
        <f t="shared" si="154"/>
        <v>0</v>
      </c>
    </row>
    <row r="375" spans="1:13" ht="78">
      <c r="A375" s="22" t="s">
        <v>308</v>
      </c>
      <c r="B375" s="19" t="s">
        <v>5</v>
      </c>
      <c r="C375" s="19" t="s">
        <v>64</v>
      </c>
      <c r="D375" s="19" t="s">
        <v>12</v>
      </c>
      <c r="E375" s="19" t="s">
        <v>28</v>
      </c>
      <c r="F375" s="20">
        <v>9</v>
      </c>
      <c r="G375" s="19" t="s">
        <v>15</v>
      </c>
      <c r="H375" s="19" t="s">
        <v>81</v>
      </c>
      <c r="I375" s="20"/>
      <c r="J375" s="63">
        <f>J376</f>
        <v>46486</v>
      </c>
      <c r="K375" s="63">
        <f t="shared" ref="K375:L375" si="174">K376</f>
        <v>46486</v>
      </c>
      <c r="L375" s="63">
        <f t="shared" si="174"/>
        <v>46486</v>
      </c>
      <c r="M375" s="180">
        <f t="shared" si="154"/>
        <v>0</v>
      </c>
    </row>
    <row r="376" spans="1:13" ht="31.2">
      <c r="A376" s="22" t="s">
        <v>58</v>
      </c>
      <c r="B376" s="19" t="s">
        <v>5</v>
      </c>
      <c r="C376" s="19" t="s">
        <v>64</v>
      </c>
      <c r="D376" s="19" t="s">
        <v>12</v>
      </c>
      <c r="E376" s="19" t="s">
        <v>28</v>
      </c>
      <c r="F376" s="20">
        <v>9</v>
      </c>
      <c r="G376" s="19" t="s">
        <v>15</v>
      </c>
      <c r="H376" s="19" t="s">
        <v>81</v>
      </c>
      <c r="I376" s="20">
        <v>110</v>
      </c>
      <c r="J376" s="63">
        <f>33117+13369</f>
        <v>46486</v>
      </c>
      <c r="K376" s="63">
        <v>46486</v>
      </c>
      <c r="L376" s="63">
        <v>46486</v>
      </c>
      <c r="M376" s="180">
        <f t="shared" si="154"/>
        <v>0</v>
      </c>
    </row>
    <row r="377" spans="1:13" ht="31.2">
      <c r="A377" s="22" t="s">
        <v>386</v>
      </c>
      <c r="B377" s="25" t="s">
        <v>5</v>
      </c>
      <c r="C377" s="25" t="s">
        <v>64</v>
      </c>
      <c r="D377" s="25" t="s">
        <v>12</v>
      </c>
      <c r="E377" s="25" t="s">
        <v>28</v>
      </c>
      <c r="F377" s="26">
        <v>9</v>
      </c>
      <c r="G377" s="25" t="s">
        <v>15</v>
      </c>
      <c r="H377" s="25" t="s">
        <v>385</v>
      </c>
      <c r="I377" s="26"/>
      <c r="J377" s="63">
        <f>SUM(J378:J379)</f>
        <v>1153705.46</v>
      </c>
      <c r="K377" s="63">
        <f t="shared" ref="K377:L377" si="175">SUM(K378:K379)</f>
        <v>1153705.46</v>
      </c>
      <c r="L377" s="63">
        <f t="shared" si="175"/>
        <v>1153705.46</v>
      </c>
      <c r="M377" s="180">
        <f t="shared" si="154"/>
        <v>0</v>
      </c>
    </row>
    <row r="378" spans="1:13">
      <c r="A378" s="21" t="s">
        <v>285</v>
      </c>
      <c r="B378" s="25" t="s">
        <v>5</v>
      </c>
      <c r="C378" s="25" t="s">
        <v>64</v>
      </c>
      <c r="D378" s="25" t="s">
        <v>12</v>
      </c>
      <c r="E378" s="25" t="s">
        <v>28</v>
      </c>
      <c r="F378" s="26">
        <v>9</v>
      </c>
      <c r="G378" s="25" t="s">
        <v>15</v>
      </c>
      <c r="H378" s="25" t="s">
        <v>385</v>
      </c>
      <c r="I378" s="26">
        <v>110</v>
      </c>
      <c r="J378" s="63">
        <v>495073.86</v>
      </c>
      <c r="K378" s="63">
        <f>380241+114832.86</f>
        <v>495073.86</v>
      </c>
      <c r="L378" s="63">
        <f>380241+114832.86</f>
        <v>495073.86</v>
      </c>
      <c r="M378" s="180">
        <f t="shared" si="154"/>
        <v>0</v>
      </c>
    </row>
    <row r="379" spans="1:13">
      <c r="A379" s="21" t="s">
        <v>65</v>
      </c>
      <c r="B379" s="25" t="s">
        <v>5</v>
      </c>
      <c r="C379" s="25" t="s">
        <v>64</v>
      </c>
      <c r="D379" s="25" t="s">
        <v>12</v>
      </c>
      <c r="E379" s="25" t="s">
        <v>28</v>
      </c>
      <c r="F379" s="26">
        <v>9</v>
      </c>
      <c r="G379" s="25" t="s">
        <v>15</v>
      </c>
      <c r="H379" s="25" t="s">
        <v>385</v>
      </c>
      <c r="I379" s="26">
        <v>620</v>
      </c>
      <c r="J379" s="63">
        <v>658631.6</v>
      </c>
      <c r="K379" s="63">
        <v>658631.6</v>
      </c>
      <c r="L379" s="63">
        <v>658631.6</v>
      </c>
      <c r="M379" s="180">
        <f t="shared" si="154"/>
        <v>0</v>
      </c>
    </row>
    <row r="380" spans="1:13" ht="31.2">
      <c r="A380" s="21" t="s">
        <v>626</v>
      </c>
      <c r="B380" s="90" t="s">
        <v>5</v>
      </c>
      <c r="C380" s="90" t="s">
        <v>64</v>
      </c>
      <c r="D380" s="90" t="s">
        <v>12</v>
      </c>
      <c r="E380" s="90" t="s">
        <v>28</v>
      </c>
      <c r="F380" s="91">
        <v>9</v>
      </c>
      <c r="G380" s="90" t="s">
        <v>15</v>
      </c>
      <c r="H380" s="90" t="s">
        <v>615</v>
      </c>
      <c r="I380" s="91"/>
      <c r="J380" s="63">
        <f>SUM(J381:J382)</f>
        <v>0</v>
      </c>
      <c r="K380" s="63">
        <f t="shared" ref="K380:L380" si="176">SUM(K381:K382)</f>
        <v>549851.68999999994</v>
      </c>
      <c r="L380" s="63">
        <f t="shared" si="176"/>
        <v>549851.68999999994</v>
      </c>
      <c r="M380" s="180">
        <f t="shared" si="154"/>
        <v>-549851.68999999994</v>
      </c>
    </row>
    <row r="381" spans="1:13">
      <c r="A381" s="21" t="s">
        <v>285</v>
      </c>
      <c r="B381" s="90" t="s">
        <v>5</v>
      </c>
      <c r="C381" s="90" t="s">
        <v>64</v>
      </c>
      <c r="D381" s="90" t="s">
        <v>12</v>
      </c>
      <c r="E381" s="90" t="s">
        <v>28</v>
      </c>
      <c r="F381" s="91">
        <v>9</v>
      </c>
      <c r="G381" s="90" t="s">
        <v>15</v>
      </c>
      <c r="H381" s="90" t="s">
        <v>615</v>
      </c>
      <c r="I381" s="91">
        <v>110</v>
      </c>
      <c r="J381" s="63">
        <v>0</v>
      </c>
      <c r="K381" s="63">
        <f>85991.36+25969.39</f>
        <v>111960.75</v>
      </c>
      <c r="L381" s="63">
        <f>85991.36+25969.39</f>
        <v>111960.75</v>
      </c>
      <c r="M381" s="180">
        <f t="shared" si="154"/>
        <v>-111960.75</v>
      </c>
    </row>
    <row r="382" spans="1:13">
      <c r="A382" s="21" t="s">
        <v>65</v>
      </c>
      <c r="B382" s="90" t="s">
        <v>5</v>
      </c>
      <c r="C382" s="90" t="s">
        <v>64</v>
      </c>
      <c r="D382" s="90" t="s">
        <v>12</v>
      </c>
      <c r="E382" s="90" t="s">
        <v>28</v>
      </c>
      <c r="F382" s="91">
        <v>9</v>
      </c>
      <c r="G382" s="90" t="s">
        <v>15</v>
      </c>
      <c r="H382" s="90" t="s">
        <v>615</v>
      </c>
      <c r="I382" s="91">
        <v>620</v>
      </c>
      <c r="J382" s="63">
        <v>0</v>
      </c>
      <c r="K382" s="63">
        <v>437890.94</v>
      </c>
      <c r="L382" s="63">
        <v>437890.94</v>
      </c>
      <c r="M382" s="180">
        <f t="shared" si="154"/>
        <v>-437890.94</v>
      </c>
    </row>
    <row r="383" spans="1:13">
      <c r="A383" s="21" t="s">
        <v>82</v>
      </c>
      <c r="B383" s="19" t="s">
        <v>5</v>
      </c>
      <c r="C383" s="19" t="s">
        <v>64</v>
      </c>
      <c r="D383" s="19" t="s">
        <v>31</v>
      </c>
      <c r="E383" s="19"/>
      <c r="F383" s="20"/>
      <c r="G383" s="19"/>
      <c r="H383" s="19"/>
      <c r="I383" s="20"/>
      <c r="J383" s="64">
        <f>J384</f>
        <v>408221.66000000003</v>
      </c>
      <c r="K383" s="64">
        <f t="shared" ref="K383:L384" si="177">K384</f>
        <v>408221.66000000003</v>
      </c>
      <c r="L383" s="64">
        <f t="shared" si="177"/>
        <v>408221.66000000003</v>
      </c>
      <c r="M383" s="180">
        <f t="shared" si="154"/>
        <v>0</v>
      </c>
    </row>
    <row r="384" spans="1:13" ht="62.4">
      <c r="A384" s="22" t="s">
        <v>291</v>
      </c>
      <c r="B384" s="19" t="s">
        <v>5</v>
      </c>
      <c r="C384" s="19" t="s">
        <v>64</v>
      </c>
      <c r="D384" s="19" t="s">
        <v>31</v>
      </c>
      <c r="E384" s="19" t="s">
        <v>34</v>
      </c>
      <c r="F384" s="20">
        <v>0</v>
      </c>
      <c r="G384" s="19" t="s">
        <v>15</v>
      </c>
      <c r="H384" s="19" t="s">
        <v>16</v>
      </c>
      <c r="I384" s="20"/>
      <c r="J384" s="64">
        <f>J385</f>
        <v>408221.66000000003</v>
      </c>
      <c r="K384" s="64">
        <f t="shared" si="177"/>
        <v>408221.66000000003</v>
      </c>
      <c r="L384" s="64">
        <f t="shared" si="177"/>
        <v>408221.66000000003</v>
      </c>
      <c r="M384" s="180">
        <f t="shared" si="154"/>
        <v>0</v>
      </c>
    </row>
    <row r="385" spans="1:13">
      <c r="A385" s="22" t="s">
        <v>309</v>
      </c>
      <c r="B385" s="19" t="s">
        <v>5</v>
      </c>
      <c r="C385" s="19" t="s">
        <v>64</v>
      </c>
      <c r="D385" s="19" t="s">
        <v>31</v>
      </c>
      <c r="E385" s="19" t="s">
        <v>34</v>
      </c>
      <c r="F385" s="20">
        <v>3</v>
      </c>
      <c r="G385" s="19" t="s">
        <v>15</v>
      </c>
      <c r="H385" s="19" t="s">
        <v>16</v>
      </c>
      <c r="I385" s="20"/>
      <c r="J385" s="64">
        <f>J386+J388+J390</f>
        <v>408221.66000000003</v>
      </c>
      <c r="K385" s="64">
        <f t="shared" ref="K385:L385" si="178">K386+K388+K390</f>
        <v>408221.66000000003</v>
      </c>
      <c r="L385" s="64">
        <f t="shared" si="178"/>
        <v>408221.66000000003</v>
      </c>
      <c r="M385" s="180">
        <f t="shared" si="154"/>
        <v>0</v>
      </c>
    </row>
    <row r="386" spans="1:13" ht="31.2">
      <c r="A386" s="22" t="s">
        <v>310</v>
      </c>
      <c r="B386" s="19" t="s">
        <v>5</v>
      </c>
      <c r="C386" s="19" t="s">
        <v>64</v>
      </c>
      <c r="D386" s="19" t="s">
        <v>31</v>
      </c>
      <c r="E386" s="19" t="s">
        <v>34</v>
      </c>
      <c r="F386" s="20">
        <v>3</v>
      </c>
      <c r="G386" s="19" t="s">
        <v>15</v>
      </c>
      <c r="H386" s="19" t="s">
        <v>311</v>
      </c>
      <c r="I386" s="20"/>
      <c r="J386" s="64">
        <f>J387</f>
        <v>100000</v>
      </c>
      <c r="K386" s="64">
        <f t="shared" ref="K386:L386" si="179">K387</f>
        <v>100000</v>
      </c>
      <c r="L386" s="64">
        <f t="shared" si="179"/>
        <v>100000</v>
      </c>
      <c r="M386" s="180">
        <f t="shared" si="154"/>
        <v>0</v>
      </c>
    </row>
    <row r="387" spans="1:13">
      <c r="A387" s="22" t="s">
        <v>39</v>
      </c>
      <c r="B387" s="19" t="s">
        <v>5</v>
      </c>
      <c r="C387" s="19" t="s">
        <v>64</v>
      </c>
      <c r="D387" s="19" t="s">
        <v>31</v>
      </c>
      <c r="E387" s="19" t="s">
        <v>34</v>
      </c>
      <c r="F387" s="20">
        <v>3</v>
      </c>
      <c r="G387" s="19" t="s">
        <v>15</v>
      </c>
      <c r="H387" s="19" t="s">
        <v>311</v>
      </c>
      <c r="I387" s="20">
        <v>350</v>
      </c>
      <c r="J387" s="64">
        <v>100000</v>
      </c>
      <c r="K387" s="64">
        <v>100000</v>
      </c>
      <c r="L387" s="64">
        <v>100000</v>
      </c>
      <c r="M387" s="180">
        <f t="shared" si="154"/>
        <v>0</v>
      </c>
    </row>
    <row r="388" spans="1:13">
      <c r="A388" s="22" t="s">
        <v>312</v>
      </c>
      <c r="B388" s="19" t="s">
        <v>5</v>
      </c>
      <c r="C388" s="19" t="s">
        <v>64</v>
      </c>
      <c r="D388" s="19" t="s">
        <v>31</v>
      </c>
      <c r="E388" s="19" t="s">
        <v>34</v>
      </c>
      <c r="F388" s="20">
        <v>3</v>
      </c>
      <c r="G388" s="19" t="s">
        <v>15</v>
      </c>
      <c r="H388" s="19" t="s">
        <v>313</v>
      </c>
      <c r="I388" s="20"/>
      <c r="J388" s="64">
        <f>J389</f>
        <v>155971.66</v>
      </c>
      <c r="K388" s="64">
        <f t="shared" ref="K388:L388" si="180">K389</f>
        <v>155971.66</v>
      </c>
      <c r="L388" s="64">
        <f t="shared" si="180"/>
        <v>155971.66</v>
      </c>
      <c r="M388" s="180">
        <f t="shared" si="154"/>
        <v>0</v>
      </c>
    </row>
    <row r="389" spans="1:13" ht="31.2">
      <c r="A389" s="22" t="s">
        <v>22</v>
      </c>
      <c r="B389" s="19" t="s">
        <v>5</v>
      </c>
      <c r="C389" s="19" t="s">
        <v>64</v>
      </c>
      <c r="D389" s="19" t="s">
        <v>31</v>
      </c>
      <c r="E389" s="19" t="s">
        <v>34</v>
      </c>
      <c r="F389" s="20">
        <v>3</v>
      </c>
      <c r="G389" s="19" t="s">
        <v>15</v>
      </c>
      <c r="H389" s="19" t="s">
        <v>313</v>
      </c>
      <c r="I389" s="20">
        <v>240</v>
      </c>
      <c r="J389" s="64">
        <f>410000-186000-68028.34</f>
        <v>155971.66</v>
      </c>
      <c r="K389" s="64">
        <v>155971.66</v>
      </c>
      <c r="L389" s="64">
        <v>155971.66</v>
      </c>
      <c r="M389" s="180">
        <f t="shared" si="154"/>
        <v>0</v>
      </c>
    </row>
    <row r="390" spans="1:13">
      <c r="A390" s="22" t="s">
        <v>314</v>
      </c>
      <c r="B390" s="19" t="s">
        <v>5</v>
      </c>
      <c r="C390" s="19" t="s">
        <v>64</v>
      </c>
      <c r="D390" s="19" t="s">
        <v>31</v>
      </c>
      <c r="E390" s="19" t="s">
        <v>34</v>
      </c>
      <c r="F390" s="20">
        <v>3</v>
      </c>
      <c r="G390" s="19" t="s">
        <v>15</v>
      </c>
      <c r="H390" s="19" t="s">
        <v>315</v>
      </c>
      <c r="I390" s="20"/>
      <c r="J390" s="64">
        <f>J391</f>
        <v>152250</v>
      </c>
      <c r="K390" s="64">
        <f t="shared" ref="K390:L390" si="181">K391</f>
        <v>152250</v>
      </c>
      <c r="L390" s="64">
        <f t="shared" si="181"/>
        <v>152250</v>
      </c>
      <c r="M390" s="180">
        <f t="shared" si="154"/>
        <v>0</v>
      </c>
    </row>
    <row r="391" spans="1:13" ht="31.2">
      <c r="A391" s="22" t="s">
        <v>22</v>
      </c>
      <c r="B391" s="19" t="s">
        <v>5</v>
      </c>
      <c r="C391" s="19" t="s">
        <v>64</v>
      </c>
      <c r="D391" s="19" t="s">
        <v>31</v>
      </c>
      <c r="E391" s="19" t="s">
        <v>34</v>
      </c>
      <c r="F391" s="20">
        <v>3</v>
      </c>
      <c r="G391" s="19" t="s">
        <v>15</v>
      </c>
      <c r="H391" s="19" t="s">
        <v>315</v>
      </c>
      <c r="I391" s="20">
        <v>240</v>
      </c>
      <c r="J391" s="64">
        <f>467000-190000-70000-54750</f>
        <v>152250</v>
      </c>
      <c r="K391" s="64">
        <v>152250</v>
      </c>
      <c r="L391" s="64">
        <v>152250</v>
      </c>
      <c r="M391" s="180">
        <f t="shared" si="154"/>
        <v>0</v>
      </c>
    </row>
    <row r="392" spans="1:13">
      <c r="A392" s="29" t="s">
        <v>83</v>
      </c>
      <c r="B392" s="19" t="s">
        <v>5</v>
      </c>
      <c r="C392" s="19">
        <v>10</v>
      </c>
      <c r="D392" s="19"/>
      <c r="E392" s="19"/>
      <c r="F392" s="20"/>
      <c r="G392" s="19"/>
      <c r="H392" s="19"/>
      <c r="I392" s="20"/>
      <c r="J392" s="64">
        <f>J393</f>
        <v>667808</v>
      </c>
      <c r="K392" s="64">
        <f t="shared" ref="K392:L392" si="182">K393</f>
        <v>667808</v>
      </c>
      <c r="L392" s="64">
        <f t="shared" si="182"/>
        <v>501997.5</v>
      </c>
      <c r="M392" s="180">
        <f t="shared" si="154"/>
        <v>165810.5</v>
      </c>
    </row>
    <row r="393" spans="1:13">
      <c r="A393" s="21" t="s">
        <v>84</v>
      </c>
      <c r="B393" s="19" t="s">
        <v>5</v>
      </c>
      <c r="C393" s="19" t="s">
        <v>38</v>
      </c>
      <c r="D393" s="19" t="s">
        <v>19</v>
      </c>
      <c r="E393" s="19"/>
      <c r="F393" s="19"/>
      <c r="G393" s="19"/>
      <c r="H393" s="19"/>
      <c r="I393" s="20"/>
      <c r="J393" s="64">
        <f>J394+J398+J402</f>
        <v>667808</v>
      </c>
      <c r="K393" s="64">
        <f t="shared" ref="K393:L393" si="183">K394+K398+K402</f>
        <v>667808</v>
      </c>
      <c r="L393" s="64">
        <f t="shared" si="183"/>
        <v>501997.5</v>
      </c>
      <c r="M393" s="180">
        <f t="shared" si="154"/>
        <v>165810.5</v>
      </c>
    </row>
    <row r="394" spans="1:13" hidden="1">
      <c r="A394" s="21" t="s">
        <v>41</v>
      </c>
      <c r="B394" s="19" t="s">
        <v>5</v>
      </c>
      <c r="C394" s="19" t="s">
        <v>38</v>
      </c>
      <c r="D394" s="19" t="s">
        <v>19</v>
      </c>
      <c r="E394" s="19">
        <v>94</v>
      </c>
      <c r="F394" s="20">
        <v>0</v>
      </c>
      <c r="G394" s="19" t="s">
        <v>15</v>
      </c>
      <c r="H394" s="19" t="s">
        <v>16</v>
      </c>
      <c r="I394" s="20"/>
      <c r="J394" s="64">
        <f>J395</f>
        <v>0</v>
      </c>
      <c r="K394" s="64">
        <f t="shared" ref="K394:L396" si="184">K395</f>
        <v>0</v>
      </c>
      <c r="L394" s="64">
        <f t="shared" si="184"/>
        <v>0</v>
      </c>
      <c r="M394" s="180">
        <f t="shared" si="154"/>
        <v>0</v>
      </c>
    </row>
    <row r="395" spans="1:13" hidden="1">
      <c r="A395" s="21" t="s">
        <v>128</v>
      </c>
      <c r="B395" s="19" t="s">
        <v>5</v>
      </c>
      <c r="C395" s="19" t="s">
        <v>38</v>
      </c>
      <c r="D395" s="19" t="s">
        <v>19</v>
      </c>
      <c r="E395" s="19">
        <v>94</v>
      </c>
      <c r="F395" s="20">
        <v>1</v>
      </c>
      <c r="G395" s="19" t="s">
        <v>15</v>
      </c>
      <c r="H395" s="19" t="s">
        <v>16</v>
      </c>
      <c r="I395" s="20" t="s">
        <v>94</v>
      </c>
      <c r="J395" s="64">
        <f>J396</f>
        <v>0</v>
      </c>
      <c r="K395" s="64">
        <f t="shared" si="184"/>
        <v>0</v>
      </c>
      <c r="L395" s="64">
        <f t="shared" si="184"/>
        <v>0</v>
      </c>
      <c r="M395" s="180">
        <f t="shared" si="154"/>
        <v>0</v>
      </c>
    </row>
    <row r="396" spans="1:13" hidden="1">
      <c r="A396" s="21" t="s">
        <v>128</v>
      </c>
      <c r="B396" s="19" t="s">
        <v>5</v>
      </c>
      <c r="C396" s="19" t="s">
        <v>38</v>
      </c>
      <c r="D396" s="19" t="s">
        <v>19</v>
      </c>
      <c r="E396" s="19">
        <v>94</v>
      </c>
      <c r="F396" s="20">
        <v>1</v>
      </c>
      <c r="G396" s="19" t="s">
        <v>15</v>
      </c>
      <c r="H396" s="19" t="s">
        <v>129</v>
      </c>
      <c r="I396" s="20"/>
      <c r="J396" s="64">
        <f>J397</f>
        <v>0</v>
      </c>
      <c r="K396" s="64">
        <f t="shared" si="184"/>
        <v>0</v>
      </c>
      <c r="L396" s="64">
        <f t="shared" si="184"/>
        <v>0</v>
      </c>
      <c r="M396" s="180">
        <f t="shared" si="154"/>
        <v>0</v>
      </c>
    </row>
    <row r="397" spans="1:13" hidden="1">
      <c r="A397" s="21" t="s">
        <v>43</v>
      </c>
      <c r="B397" s="19" t="s">
        <v>5</v>
      </c>
      <c r="C397" s="19" t="s">
        <v>38</v>
      </c>
      <c r="D397" s="19" t="s">
        <v>19</v>
      </c>
      <c r="E397" s="19">
        <v>94</v>
      </c>
      <c r="F397" s="20">
        <v>1</v>
      </c>
      <c r="G397" s="19" t="s">
        <v>15</v>
      </c>
      <c r="H397" s="19" t="s">
        <v>129</v>
      </c>
      <c r="I397" s="19" t="s">
        <v>44</v>
      </c>
      <c r="J397" s="64"/>
      <c r="K397" s="64"/>
      <c r="L397" s="64"/>
      <c r="M397" s="180">
        <f t="shared" ref="M397:M438" si="185">J397-L397</f>
        <v>0</v>
      </c>
    </row>
    <row r="398" spans="1:13" ht="31.2">
      <c r="A398" s="22" t="s">
        <v>316</v>
      </c>
      <c r="B398" s="19" t="s">
        <v>5</v>
      </c>
      <c r="C398" s="19" t="s">
        <v>38</v>
      </c>
      <c r="D398" s="19" t="s">
        <v>19</v>
      </c>
      <c r="E398" s="19" t="s">
        <v>317</v>
      </c>
      <c r="F398" s="20">
        <v>0</v>
      </c>
      <c r="G398" s="19" t="s">
        <v>15</v>
      </c>
      <c r="H398" s="19" t="s">
        <v>16</v>
      </c>
      <c r="I398" s="20"/>
      <c r="J398" s="64">
        <f>J399</f>
        <v>627808</v>
      </c>
      <c r="K398" s="64">
        <f t="shared" ref="K398:L400" si="186">K399</f>
        <v>627808</v>
      </c>
      <c r="L398" s="64">
        <f t="shared" si="186"/>
        <v>486997.5</v>
      </c>
      <c r="M398" s="180">
        <f t="shared" si="185"/>
        <v>140810.5</v>
      </c>
    </row>
    <row r="399" spans="1:13">
      <c r="A399" s="22" t="s">
        <v>318</v>
      </c>
      <c r="B399" s="19" t="s">
        <v>5</v>
      </c>
      <c r="C399" s="19" t="s">
        <v>38</v>
      </c>
      <c r="D399" s="19" t="s">
        <v>19</v>
      </c>
      <c r="E399" s="19" t="s">
        <v>317</v>
      </c>
      <c r="F399" s="20">
        <v>3</v>
      </c>
      <c r="G399" s="19" t="s">
        <v>15</v>
      </c>
      <c r="H399" s="19" t="s">
        <v>16</v>
      </c>
      <c r="I399" s="20"/>
      <c r="J399" s="64">
        <f>J400</f>
        <v>627808</v>
      </c>
      <c r="K399" s="64">
        <f t="shared" si="186"/>
        <v>627808</v>
      </c>
      <c r="L399" s="64">
        <f t="shared" si="186"/>
        <v>486997.5</v>
      </c>
      <c r="M399" s="180">
        <f t="shared" si="185"/>
        <v>140810.5</v>
      </c>
    </row>
    <row r="400" spans="1:13" ht="31.2">
      <c r="A400" s="22" t="s">
        <v>319</v>
      </c>
      <c r="B400" s="19" t="s">
        <v>5</v>
      </c>
      <c r="C400" s="19" t="s">
        <v>38</v>
      </c>
      <c r="D400" s="19" t="s">
        <v>19</v>
      </c>
      <c r="E400" s="19" t="s">
        <v>317</v>
      </c>
      <c r="F400" s="20">
        <v>3</v>
      </c>
      <c r="G400" s="19" t="s">
        <v>15</v>
      </c>
      <c r="H400" s="19" t="s">
        <v>320</v>
      </c>
      <c r="I400" s="20"/>
      <c r="J400" s="64">
        <f>J401</f>
        <v>627808</v>
      </c>
      <c r="K400" s="64">
        <f t="shared" si="186"/>
        <v>627808</v>
      </c>
      <c r="L400" s="64">
        <f t="shared" si="186"/>
        <v>486997.5</v>
      </c>
      <c r="M400" s="180">
        <f t="shared" si="185"/>
        <v>140810.5</v>
      </c>
    </row>
    <row r="401" spans="1:13" ht="46.8">
      <c r="A401" s="22" t="s">
        <v>229</v>
      </c>
      <c r="B401" s="19" t="s">
        <v>5</v>
      </c>
      <c r="C401" s="19" t="s">
        <v>38</v>
      </c>
      <c r="D401" s="19" t="s">
        <v>19</v>
      </c>
      <c r="E401" s="19" t="s">
        <v>317</v>
      </c>
      <c r="F401" s="20">
        <v>3</v>
      </c>
      <c r="G401" s="19" t="s">
        <v>15</v>
      </c>
      <c r="H401" s="19" t="s">
        <v>320</v>
      </c>
      <c r="I401" s="20">
        <v>810</v>
      </c>
      <c r="J401" s="64">
        <f>677808-50000</f>
        <v>627808</v>
      </c>
      <c r="K401" s="64">
        <v>627808</v>
      </c>
      <c r="L401" s="64">
        <v>486997.5</v>
      </c>
      <c r="M401" s="180">
        <f t="shared" si="185"/>
        <v>140810.5</v>
      </c>
    </row>
    <row r="402" spans="1:13">
      <c r="A402" s="22" t="s">
        <v>27</v>
      </c>
      <c r="B402" s="19" t="s">
        <v>5</v>
      </c>
      <c r="C402" s="19" t="s">
        <v>38</v>
      </c>
      <c r="D402" s="19" t="s">
        <v>19</v>
      </c>
      <c r="E402" s="19" t="s">
        <v>28</v>
      </c>
      <c r="F402" s="20">
        <v>0</v>
      </c>
      <c r="G402" s="19" t="s">
        <v>15</v>
      </c>
      <c r="H402" s="19" t="s">
        <v>16</v>
      </c>
      <c r="I402" s="20"/>
      <c r="J402" s="64">
        <f>J403</f>
        <v>40000</v>
      </c>
      <c r="K402" s="64">
        <f t="shared" ref="K402:L404" si="187">K403</f>
        <v>40000</v>
      </c>
      <c r="L402" s="64">
        <f t="shared" si="187"/>
        <v>15000</v>
      </c>
      <c r="M402" s="180">
        <f t="shared" si="185"/>
        <v>25000</v>
      </c>
    </row>
    <row r="403" spans="1:13">
      <c r="A403" s="22" t="s">
        <v>174</v>
      </c>
      <c r="B403" s="19" t="s">
        <v>5</v>
      </c>
      <c r="C403" s="19" t="s">
        <v>38</v>
      </c>
      <c r="D403" s="19" t="s">
        <v>19</v>
      </c>
      <c r="E403" s="19" t="s">
        <v>28</v>
      </c>
      <c r="F403" s="20">
        <v>9</v>
      </c>
      <c r="G403" s="19" t="s">
        <v>15</v>
      </c>
      <c r="H403" s="19" t="s">
        <v>16</v>
      </c>
      <c r="I403" s="20"/>
      <c r="J403" s="64">
        <f>J404</f>
        <v>40000</v>
      </c>
      <c r="K403" s="64">
        <f t="shared" si="187"/>
        <v>40000</v>
      </c>
      <c r="L403" s="64">
        <f t="shared" si="187"/>
        <v>15000</v>
      </c>
      <c r="M403" s="180">
        <f t="shared" si="185"/>
        <v>25000</v>
      </c>
    </row>
    <row r="404" spans="1:13">
      <c r="A404" s="22" t="s">
        <v>321</v>
      </c>
      <c r="B404" s="19" t="s">
        <v>5</v>
      </c>
      <c r="C404" s="19" t="s">
        <v>38</v>
      </c>
      <c r="D404" s="19" t="s">
        <v>19</v>
      </c>
      <c r="E404" s="19" t="s">
        <v>28</v>
      </c>
      <c r="F404" s="20">
        <v>9</v>
      </c>
      <c r="G404" s="19" t="s">
        <v>15</v>
      </c>
      <c r="H404" s="19" t="s">
        <v>322</v>
      </c>
      <c r="I404" s="20"/>
      <c r="J404" s="63">
        <f>J405</f>
        <v>40000</v>
      </c>
      <c r="K404" s="63">
        <f t="shared" si="187"/>
        <v>40000</v>
      </c>
      <c r="L404" s="63">
        <f t="shared" si="187"/>
        <v>15000</v>
      </c>
      <c r="M404" s="180">
        <f t="shared" si="185"/>
        <v>25000</v>
      </c>
    </row>
    <row r="405" spans="1:13" ht="31.2">
      <c r="A405" s="22" t="s">
        <v>85</v>
      </c>
      <c r="B405" s="19" t="s">
        <v>5</v>
      </c>
      <c r="C405" s="19" t="s">
        <v>38</v>
      </c>
      <c r="D405" s="19" t="s">
        <v>19</v>
      </c>
      <c r="E405" s="19" t="s">
        <v>28</v>
      </c>
      <c r="F405" s="20">
        <v>9</v>
      </c>
      <c r="G405" s="19" t="s">
        <v>15</v>
      </c>
      <c r="H405" s="19" t="s">
        <v>322</v>
      </c>
      <c r="I405" s="20">
        <v>310</v>
      </c>
      <c r="J405" s="63">
        <f>90000-50000</f>
        <v>40000</v>
      </c>
      <c r="K405" s="63">
        <v>40000</v>
      </c>
      <c r="L405" s="63">
        <v>15000</v>
      </c>
      <c r="M405" s="180">
        <f t="shared" si="185"/>
        <v>25000</v>
      </c>
    </row>
    <row r="406" spans="1:13">
      <c r="A406" s="29" t="s">
        <v>86</v>
      </c>
      <c r="B406" s="19" t="s">
        <v>5</v>
      </c>
      <c r="C406" s="19">
        <v>11</v>
      </c>
      <c r="D406" s="19"/>
      <c r="E406" s="19"/>
      <c r="F406" s="20"/>
      <c r="G406" s="19"/>
      <c r="H406" s="19"/>
      <c r="I406" s="20"/>
      <c r="J406" s="64">
        <f>J407</f>
        <v>3152219.9299999997</v>
      </c>
      <c r="K406" s="64">
        <f t="shared" ref="K406:L408" si="188">K407</f>
        <v>3152219.9299999997</v>
      </c>
      <c r="L406" s="64">
        <f t="shared" si="188"/>
        <v>3074196.91</v>
      </c>
      <c r="M406" s="180">
        <f t="shared" si="185"/>
        <v>78023.019999999553</v>
      </c>
    </row>
    <row r="407" spans="1:13" ht="31.2">
      <c r="A407" s="21" t="s">
        <v>87</v>
      </c>
      <c r="B407" s="19" t="s">
        <v>5</v>
      </c>
      <c r="C407" s="19">
        <v>11</v>
      </c>
      <c r="D407" s="19" t="s">
        <v>32</v>
      </c>
      <c r="E407" s="19"/>
      <c r="F407" s="20"/>
      <c r="G407" s="19"/>
      <c r="H407" s="19"/>
      <c r="I407" s="20"/>
      <c r="J407" s="64">
        <f>J408</f>
        <v>3152219.9299999997</v>
      </c>
      <c r="K407" s="64">
        <f t="shared" si="188"/>
        <v>3152219.9299999997</v>
      </c>
      <c r="L407" s="64">
        <f t="shared" si="188"/>
        <v>3074196.91</v>
      </c>
      <c r="M407" s="180">
        <f t="shared" si="185"/>
        <v>78023.019999999553</v>
      </c>
    </row>
    <row r="408" spans="1:13" ht="62.4">
      <c r="A408" s="22" t="s">
        <v>291</v>
      </c>
      <c r="B408" s="19" t="s">
        <v>5</v>
      </c>
      <c r="C408" s="19" t="s">
        <v>42</v>
      </c>
      <c r="D408" s="19" t="s">
        <v>32</v>
      </c>
      <c r="E408" s="19" t="s">
        <v>34</v>
      </c>
      <c r="F408" s="20">
        <v>0</v>
      </c>
      <c r="G408" s="19" t="s">
        <v>15</v>
      </c>
      <c r="H408" s="19" t="s">
        <v>16</v>
      </c>
      <c r="I408" s="20"/>
      <c r="J408" s="64">
        <f>J409</f>
        <v>3152219.9299999997</v>
      </c>
      <c r="K408" s="64">
        <f t="shared" si="188"/>
        <v>3152219.9299999997</v>
      </c>
      <c r="L408" s="64">
        <f t="shared" si="188"/>
        <v>3074196.91</v>
      </c>
      <c r="M408" s="180">
        <f t="shared" si="185"/>
        <v>78023.019999999553</v>
      </c>
    </row>
    <row r="409" spans="1:13" ht="62.4">
      <c r="A409" s="22" t="s">
        <v>323</v>
      </c>
      <c r="B409" s="19" t="s">
        <v>5</v>
      </c>
      <c r="C409" s="19" t="s">
        <v>42</v>
      </c>
      <c r="D409" s="19" t="s">
        <v>32</v>
      </c>
      <c r="E409" s="19" t="s">
        <v>34</v>
      </c>
      <c r="F409" s="20">
        <v>4</v>
      </c>
      <c r="G409" s="19" t="s">
        <v>15</v>
      </c>
      <c r="H409" s="19" t="s">
        <v>16</v>
      </c>
      <c r="I409" s="20"/>
      <c r="J409" s="64">
        <f>J410+J412+J414+J416</f>
        <v>3152219.9299999997</v>
      </c>
      <c r="K409" s="64">
        <f t="shared" ref="K409:L409" si="189">K410+K412+K414+K416</f>
        <v>3152219.9299999997</v>
      </c>
      <c r="L409" s="64">
        <f t="shared" si="189"/>
        <v>3074196.91</v>
      </c>
      <c r="M409" s="180">
        <f t="shared" si="185"/>
        <v>78023.019999999553</v>
      </c>
    </row>
    <row r="410" spans="1:13">
      <c r="A410" s="22" t="s">
        <v>324</v>
      </c>
      <c r="B410" s="19" t="s">
        <v>5</v>
      </c>
      <c r="C410" s="19" t="s">
        <v>42</v>
      </c>
      <c r="D410" s="19" t="s">
        <v>32</v>
      </c>
      <c r="E410" s="19" t="s">
        <v>34</v>
      </c>
      <c r="F410" s="20">
        <v>4</v>
      </c>
      <c r="G410" s="19" t="s">
        <v>15</v>
      </c>
      <c r="H410" s="19" t="s">
        <v>325</v>
      </c>
      <c r="I410" s="20"/>
      <c r="J410" s="64">
        <f>J411</f>
        <v>295000</v>
      </c>
      <c r="K410" s="64">
        <f t="shared" ref="K410:L410" si="190">K411</f>
        <v>295000</v>
      </c>
      <c r="L410" s="64">
        <f t="shared" si="190"/>
        <v>295000</v>
      </c>
      <c r="M410" s="180">
        <f t="shared" si="185"/>
        <v>0</v>
      </c>
    </row>
    <row r="411" spans="1:13" ht="31.2">
      <c r="A411" s="22" t="s">
        <v>22</v>
      </c>
      <c r="B411" s="19" t="s">
        <v>5</v>
      </c>
      <c r="C411" s="19" t="s">
        <v>42</v>
      </c>
      <c r="D411" s="19" t="s">
        <v>32</v>
      </c>
      <c r="E411" s="19" t="s">
        <v>34</v>
      </c>
      <c r="F411" s="20">
        <v>4</v>
      </c>
      <c r="G411" s="19" t="s">
        <v>15</v>
      </c>
      <c r="H411" s="19" t="s">
        <v>325</v>
      </c>
      <c r="I411" s="20">
        <v>240</v>
      </c>
      <c r="J411" s="64">
        <v>295000</v>
      </c>
      <c r="K411" s="64">
        <v>295000</v>
      </c>
      <c r="L411" s="64">
        <v>295000</v>
      </c>
      <c r="M411" s="180">
        <f t="shared" si="185"/>
        <v>0</v>
      </c>
    </row>
    <row r="412" spans="1:13">
      <c r="A412" s="22" t="s">
        <v>404</v>
      </c>
      <c r="B412" s="75" t="s">
        <v>5</v>
      </c>
      <c r="C412" s="75" t="s">
        <v>42</v>
      </c>
      <c r="D412" s="75" t="s">
        <v>32</v>
      </c>
      <c r="E412" s="75" t="s">
        <v>34</v>
      </c>
      <c r="F412" s="76">
        <v>4</v>
      </c>
      <c r="G412" s="75" t="s">
        <v>15</v>
      </c>
      <c r="H412" s="75" t="s">
        <v>403</v>
      </c>
      <c r="I412" s="76"/>
      <c r="J412" s="64">
        <f>J413</f>
        <v>45000</v>
      </c>
      <c r="K412" s="64">
        <f t="shared" ref="K412:L412" si="191">K413</f>
        <v>45000</v>
      </c>
      <c r="L412" s="64">
        <f t="shared" si="191"/>
        <v>45000</v>
      </c>
      <c r="M412" s="180">
        <f t="shared" si="185"/>
        <v>0</v>
      </c>
    </row>
    <row r="413" spans="1:13" ht="31.2">
      <c r="A413" s="22" t="s">
        <v>22</v>
      </c>
      <c r="B413" s="75" t="s">
        <v>5</v>
      </c>
      <c r="C413" s="75" t="s">
        <v>42</v>
      </c>
      <c r="D413" s="75" t="s">
        <v>32</v>
      </c>
      <c r="E413" s="75" t="s">
        <v>34</v>
      </c>
      <c r="F413" s="76">
        <v>4</v>
      </c>
      <c r="G413" s="75" t="s">
        <v>15</v>
      </c>
      <c r="H413" s="75" t="s">
        <v>403</v>
      </c>
      <c r="I413" s="76">
        <v>240</v>
      </c>
      <c r="J413" s="64">
        <f>45000</f>
        <v>45000</v>
      </c>
      <c r="K413" s="64">
        <v>45000</v>
      </c>
      <c r="L413" s="64">
        <v>45000</v>
      </c>
      <c r="M413" s="180">
        <f t="shared" si="185"/>
        <v>0</v>
      </c>
    </row>
    <row r="414" spans="1:13">
      <c r="A414" s="22" t="s">
        <v>258</v>
      </c>
      <c r="B414" s="19" t="s">
        <v>5</v>
      </c>
      <c r="C414" s="19" t="s">
        <v>42</v>
      </c>
      <c r="D414" s="19" t="s">
        <v>32</v>
      </c>
      <c r="E414" s="19" t="s">
        <v>34</v>
      </c>
      <c r="F414" s="20">
        <v>4</v>
      </c>
      <c r="G414" s="19" t="s">
        <v>15</v>
      </c>
      <c r="H414" s="19" t="s">
        <v>259</v>
      </c>
      <c r="I414" s="20"/>
      <c r="J414" s="64">
        <f>J415</f>
        <v>1312219.93</v>
      </c>
      <c r="K414" s="64">
        <f t="shared" ref="K414:L414" si="192">K415</f>
        <v>1312219.93</v>
      </c>
      <c r="L414" s="64">
        <f t="shared" si="192"/>
        <v>1234196.9099999999</v>
      </c>
      <c r="M414" s="180">
        <f t="shared" si="185"/>
        <v>78023.020000000019</v>
      </c>
    </row>
    <row r="415" spans="1:13" ht="31.2">
      <c r="A415" s="22" t="s">
        <v>22</v>
      </c>
      <c r="B415" s="19" t="s">
        <v>5</v>
      </c>
      <c r="C415" s="19" t="s">
        <v>42</v>
      </c>
      <c r="D415" s="19" t="s">
        <v>32</v>
      </c>
      <c r="E415" s="19" t="s">
        <v>34</v>
      </c>
      <c r="F415" s="20">
        <v>4</v>
      </c>
      <c r="G415" s="19" t="s">
        <v>15</v>
      </c>
      <c r="H415" s="19" t="s">
        <v>259</v>
      </c>
      <c r="I415" s="20">
        <v>240</v>
      </c>
      <c r="J415" s="64">
        <v>1312219.93</v>
      </c>
      <c r="K415" s="64">
        <v>1312219.93</v>
      </c>
      <c r="L415" s="64">
        <v>1234196.9099999999</v>
      </c>
      <c r="M415" s="180">
        <f t="shared" si="185"/>
        <v>78023.020000000019</v>
      </c>
    </row>
    <row r="416" spans="1:13">
      <c r="A416" s="22" t="s">
        <v>326</v>
      </c>
      <c r="B416" s="19" t="s">
        <v>5</v>
      </c>
      <c r="C416" s="19" t="s">
        <v>42</v>
      </c>
      <c r="D416" s="19" t="s">
        <v>32</v>
      </c>
      <c r="E416" s="19" t="s">
        <v>34</v>
      </c>
      <c r="F416" s="20">
        <v>4</v>
      </c>
      <c r="G416" s="19" t="s">
        <v>15</v>
      </c>
      <c r="H416" s="19" t="s">
        <v>327</v>
      </c>
      <c r="I416" s="20"/>
      <c r="J416" s="64">
        <f>J417</f>
        <v>1500000</v>
      </c>
      <c r="K416" s="64">
        <f t="shared" ref="K416:L416" si="193">K417</f>
        <v>1500000</v>
      </c>
      <c r="L416" s="64">
        <f t="shared" si="193"/>
        <v>1500000</v>
      </c>
      <c r="M416" s="180">
        <f t="shared" si="185"/>
        <v>0</v>
      </c>
    </row>
    <row r="417" spans="1:13" ht="31.2">
      <c r="A417" s="22" t="s">
        <v>22</v>
      </c>
      <c r="B417" s="19" t="s">
        <v>5</v>
      </c>
      <c r="C417" s="19" t="s">
        <v>42</v>
      </c>
      <c r="D417" s="19" t="s">
        <v>32</v>
      </c>
      <c r="E417" s="19" t="s">
        <v>34</v>
      </c>
      <c r="F417" s="20">
        <v>4</v>
      </c>
      <c r="G417" s="19" t="s">
        <v>15</v>
      </c>
      <c r="H417" s="19" t="s">
        <v>327</v>
      </c>
      <c r="I417" s="20">
        <v>240</v>
      </c>
      <c r="J417" s="64">
        <v>1500000</v>
      </c>
      <c r="K417" s="64">
        <v>1500000</v>
      </c>
      <c r="L417" s="64">
        <v>1500000</v>
      </c>
      <c r="M417" s="180">
        <f t="shared" si="185"/>
        <v>0</v>
      </c>
    </row>
    <row r="418" spans="1:13">
      <c r="A418" s="29" t="s">
        <v>88</v>
      </c>
      <c r="B418" s="19" t="s">
        <v>5</v>
      </c>
      <c r="C418" s="19" t="s">
        <v>45</v>
      </c>
      <c r="D418" s="19"/>
      <c r="E418" s="19"/>
      <c r="F418" s="20"/>
      <c r="G418" s="19"/>
      <c r="H418" s="19"/>
      <c r="I418" s="20"/>
      <c r="J418" s="64">
        <f>J419</f>
        <v>1300000</v>
      </c>
      <c r="K418" s="64">
        <f t="shared" ref="K418:L422" si="194">K419</f>
        <v>1300000</v>
      </c>
      <c r="L418" s="64">
        <f t="shared" si="194"/>
        <v>512573.06</v>
      </c>
      <c r="M418" s="180">
        <f t="shared" si="185"/>
        <v>787426.94</v>
      </c>
    </row>
    <row r="419" spans="1:13">
      <c r="A419" s="21" t="s">
        <v>89</v>
      </c>
      <c r="B419" s="19" t="s">
        <v>5</v>
      </c>
      <c r="C419" s="19" t="s">
        <v>45</v>
      </c>
      <c r="D419" s="19" t="s">
        <v>13</v>
      </c>
      <c r="E419" s="19"/>
      <c r="F419" s="20"/>
      <c r="G419" s="19"/>
      <c r="H419" s="19"/>
      <c r="I419" s="20"/>
      <c r="J419" s="64">
        <f>J420</f>
        <v>1300000</v>
      </c>
      <c r="K419" s="64">
        <f t="shared" si="194"/>
        <v>1300000</v>
      </c>
      <c r="L419" s="64">
        <f t="shared" si="194"/>
        <v>512573.06</v>
      </c>
      <c r="M419" s="180">
        <f t="shared" si="185"/>
        <v>787426.94</v>
      </c>
    </row>
    <row r="420" spans="1:13" ht="62.4">
      <c r="A420" s="22" t="s">
        <v>102</v>
      </c>
      <c r="B420" s="19" t="s">
        <v>5</v>
      </c>
      <c r="C420" s="19" t="s">
        <v>45</v>
      </c>
      <c r="D420" s="19" t="s">
        <v>13</v>
      </c>
      <c r="E420" s="19" t="s">
        <v>42</v>
      </c>
      <c r="F420" s="20">
        <v>0</v>
      </c>
      <c r="G420" s="19" t="s">
        <v>15</v>
      </c>
      <c r="H420" s="19" t="s">
        <v>16</v>
      </c>
      <c r="I420" s="20"/>
      <c r="J420" s="64">
        <f>J421</f>
        <v>1300000</v>
      </c>
      <c r="K420" s="64">
        <f t="shared" si="194"/>
        <v>1300000</v>
      </c>
      <c r="L420" s="64">
        <f t="shared" si="194"/>
        <v>512573.06</v>
      </c>
      <c r="M420" s="180">
        <f t="shared" si="185"/>
        <v>787426.94</v>
      </c>
    </row>
    <row r="421" spans="1:13" ht="31.2">
      <c r="A421" s="22" t="s">
        <v>103</v>
      </c>
      <c r="B421" s="19" t="s">
        <v>5</v>
      </c>
      <c r="C421" s="19" t="s">
        <v>45</v>
      </c>
      <c r="D421" s="19" t="s">
        <v>13</v>
      </c>
      <c r="E421" s="19" t="s">
        <v>42</v>
      </c>
      <c r="F421" s="19" t="s">
        <v>14</v>
      </c>
      <c r="G421" s="19" t="s">
        <v>12</v>
      </c>
      <c r="H421" s="19" t="s">
        <v>16</v>
      </c>
      <c r="I421" s="19"/>
      <c r="J421" s="64">
        <f>J422</f>
        <v>1300000</v>
      </c>
      <c r="K421" s="64">
        <f t="shared" si="194"/>
        <v>1300000</v>
      </c>
      <c r="L421" s="64">
        <f t="shared" si="194"/>
        <v>512573.06</v>
      </c>
      <c r="M421" s="180">
        <f t="shared" si="185"/>
        <v>787426.94</v>
      </c>
    </row>
    <row r="422" spans="1:13" ht="31.2">
      <c r="A422" s="22" t="s">
        <v>103</v>
      </c>
      <c r="B422" s="19" t="s">
        <v>5</v>
      </c>
      <c r="C422" s="19" t="s">
        <v>45</v>
      </c>
      <c r="D422" s="19" t="s">
        <v>13</v>
      </c>
      <c r="E422" s="19" t="s">
        <v>42</v>
      </c>
      <c r="F422" s="19" t="s">
        <v>14</v>
      </c>
      <c r="G422" s="19" t="s">
        <v>12</v>
      </c>
      <c r="H422" s="19" t="s">
        <v>104</v>
      </c>
      <c r="I422" s="19"/>
      <c r="J422" s="64">
        <f>J423</f>
        <v>1300000</v>
      </c>
      <c r="K422" s="64">
        <f t="shared" si="194"/>
        <v>1300000</v>
      </c>
      <c r="L422" s="64">
        <f t="shared" si="194"/>
        <v>512573.06</v>
      </c>
      <c r="M422" s="180">
        <f t="shared" si="185"/>
        <v>787426.94</v>
      </c>
    </row>
    <row r="423" spans="1:13" ht="31.2">
      <c r="A423" s="22" t="s">
        <v>22</v>
      </c>
      <c r="B423" s="19" t="s">
        <v>5</v>
      </c>
      <c r="C423" s="19" t="s">
        <v>45</v>
      </c>
      <c r="D423" s="19" t="s">
        <v>13</v>
      </c>
      <c r="E423" s="19" t="s">
        <v>42</v>
      </c>
      <c r="F423" s="19" t="s">
        <v>14</v>
      </c>
      <c r="G423" s="19" t="s">
        <v>12</v>
      </c>
      <c r="H423" s="19" t="s">
        <v>104</v>
      </c>
      <c r="I423" s="19" t="s">
        <v>23</v>
      </c>
      <c r="J423" s="64">
        <f>1000000+300000</f>
        <v>1300000</v>
      </c>
      <c r="K423" s="64">
        <v>1300000</v>
      </c>
      <c r="L423" s="64">
        <v>512573.06</v>
      </c>
      <c r="M423" s="180">
        <f t="shared" si="185"/>
        <v>787426.94</v>
      </c>
    </row>
    <row r="424" spans="1:13">
      <c r="A424" s="42" t="s">
        <v>346</v>
      </c>
      <c r="B424" s="43">
        <v>872</v>
      </c>
      <c r="C424" s="44" t="s">
        <v>341</v>
      </c>
      <c r="D424" s="44" t="s">
        <v>341</v>
      </c>
      <c r="E424" s="45" t="s">
        <v>341</v>
      </c>
      <c r="F424" s="46" t="s">
        <v>341</v>
      </c>
      <c r="G424" s="47" t="s">
        <v>341</v>
      </c>
      <c r="H424" s="48" t="s">
        <v>341</v>
      </c>
      <c r="I424" s="46"/>
      <c r="J424" s="66">
        <f>J425</f>
        <v>1241247.3600000001</v>
      </c>
      <c r="K424" s="66">
        <f t="shared" ref="K424:L424" si="195">K425</f>
        <v>1241247.3599999999</v>
      </c>
      <c r="L424" s="66">
        <f t="shared" si="195"/>
        <v>1221558.8600000001</v>
      </c>
      <c r="M424" s="180">
        <f t="shared" si="185"/>
        <v>19688.5</v>
      </c>
    </row>
    <row r="425" spans="1:13">
      <c r="A425" s="18" t="s">
        <v>11</v>
      </c>
      <c r="B425" s="19" t="s">
        <v>347</v>
      </c>
      <c r="C425" s="19" t="s">
        <v>12</v>
      </c>
      <c r="D425" s="20" t="s">
        <v>1</v>
      </c>
      <c r="E425" s="19" t="s">
        <v>93</v>
      </c>
      <c r="F425" s="20"/>
      <c r="G425" s="19"/>
      <c r="H425" s="19"/>
      <c r="I425" s="20" t="s">
        <v>94</v>
      </c>
      <c r="J425" s="63">
        <f>J426+J434</f>
        <v>1241247.3600000001</v>
      </c>
      <c r="K425" s="63">
        <f t="shared" ref="K425:L425" si="196">K426+K434</f>
        <v>1241247.3599999999</v>
      </c>
      <c r="L425" s="63">
        <f t="shared" si="196"/>
        <v>1221558.8600000001</v>
      </c>
      <c r="M425" s="180">
        <f t="shared" si="185"/>
        <v>19688.5</v>
      </c>
    </row>
    <row r="426" spans="1:13" ht="62.4">
      <c r="A426" s="18" t="s">
        <v>18</v>
      </c>
      <c r="B426" s="19" t="s">
        <v>347</v>
      </c>
      <c r="C426" s="19" t="s">
        <v>12</v>
      </c>
      <c r="D426" s="19" t="s">
        <v>19</v>
      </c>
      <c r="E426" s="19" t="s">
        <v>93</v>
      </c>
      <c r="F426" s="20"/>
      <c r="G426" s="19"/>
      <c r="H426" s="19"/>
      <c r="I426" s="20" t="s">
        <v>94</v>
      </c>
      <c r="J426" s="63">
        <f>J427</f>
        <v>1171247.3600000001</v>
      </c>
      <c r="K426" s="63">
        <f t="shared" ref="K426:L427" si="197">K427</f>
        <v>1171247.3599999999</v>
      </c>
      <c r="L426" s="63">
        <f t="shared" si="197"/>
        <v>1161070.8600000001</v>
      </c>
      <c r="M426" s="180">
        <f t="shared" si="185"/>
        <v>10176.5</v>
      </c>
    </row>
    <row r="427" spans="1:13">
      <c r="A427" s="21" t="s">
        <v>95</v>
      </c>
      <c r="B427" s="19" t="s">
        <v>347</v>
      </c>
      <c r="C427" s="19" t="s">
        <v>12</v>
      </c>
      <c r="D427" s="19" t="s">
        <v>19</v>
      </c>
      <c r="E427" s="19">
        <v>91</v>
      </c>
      <c r="F427" s="20">
        <v>0</v>
      </c>
      <c r="G427" s="19" t="s">
        <v>14</v>
      </c>
      <c r="H427" s="19" t="s">
        <v>16</v>
      </c>
      <c r="I427" s="20" t="s">
        <v>94</v>
      </c>
      <c r="J427" s="63">
        <f>J428</f>
        <v>1171247.3600000001</v>
      </c>
      <c r="K427" s="63">
        <f t="shared" si="197"/>
        <v>1171247.3599999999</v>
      </c>
      <c r="L427" s="63">
        <f t="shared" si="197"/>
        <v>1161070.8600000001</v>
      </c>
      <c r="M427" s="180">
        <f t="shared" si="185"/>
        <v>10176.5</v>
      </c>
    </row>
    <row r="428" spans="1:13" ht="31.2">
      <c r="A428" s="21" t="s">
        <v>96</v>
      </c>
      <c r="B428" s="19" t="s">
        <v>347</v>
      </c>
      <c r="C428" s="19" t="s">
        <v>12</v>
      </c>
      <c r="D428" s="19" t="s">
        <v>19</v>
      </c>
      <c r="E428" s="19">
        <v>91</v>
      </c>
      <c r="F428" s="20">
        <v>1</v>
      </c>
      <c r="G428" s="19" t="s">
        <v>15</v>
      </c>
      <c r="H428" s="19" t="s">
        <v>16</v>
      </c>
      <c r="I428" s="20"/>
      <c r="J428" s="63">
        <f>J429+J431</f>
        <v>1171247.3600000001</v>
      </c>
      <c r="K428" s="63">
        <f t="shared" ref="K428:L428" si="198">K429+K431</f>
        <v>1171247.3599999999</v>
      </c>
      <c r="L428" s="63">
        <f t="shared" si="198"/>
        <v>1161070.8600000001</v>
      </c>
      <c r="M428" s="180">
        <f t="shared" si="185"/>
        <v>10176.5</v>
      </c>
    </row>
    <row r="429" spans="1:13" ht="78">
      <c r="A429" s="21" t="s">
        <v>97</v>
      </c>
      <c r="B429" s="19" t="s">
        <v>347</v>
      </c>
      <c r="C429" s="19" t="s">
        <v>12</v>
      </c>
      <c r="D429" s="19" t="s">
        <v>19</v>
      </c>
      <c r="E429" s="19">
        <v>91</v>
      </c>
      <c r="F429" s="20">
        <v>1</v>
      </c>
      <c r="G429" s="19" t="s">
        <v>15</v>
      </c>
      <c r="H429" s="19" t="s">
        <v>98</v>
      </c>
      <c r="I429" s="20"/>
      <c r="J429" s="63">
        <f>J430</f>
        <v>1170247.3600000001</v>
      </c>
      <c r="K429" s="63">
        <f t="shared" ref="K429:L429" si="199">K430</f>
        <v>1170247.3599999999</v>
      </c>
      <c r="L429" s="63">
        <f t="shared" si="199"/>
        <v>1161013.5900000001</v>
      </c>
      <c r="M429" s="180">
        <f t="shared" si="185"/>
        <v>9233.7700000000186</v>
      </c>
    </row>
    <row r="430" spans="1:13" ht="31.2">
      <c r="A430" s="21" t="s">
        <v>99</v>
      </c>
      <c r="B430" s="19" t="s">
        <v>347</v>
      </c>
      <c r="C430" s="19" t="s">
        <v>12</v>
      </c>
      <c r="D430" s="19" t="s">
        <v>19</v>
      </c>
      <c r="E430" s="19">
        <v>91</v>
      </c>
      <c r="F430" s="20">
        <v>1</v>
      </c>
      <c r="G430" s="19" t="s">
        <v>15</v>
      </c>
      <c r="H430" s="19" t="s">
        <v>98</v>
      </c>
      <c r="I430" s="20">
        <v>120</v>
      </c>
      <c r="J430" s="64">
        <f>1171247.36-1000</f>
        <v>1170247.3600000001</v>
      </c>
      <c r="K430" s="64">
        <f>484829+540000+145418.36</f>
        <v>1170247.3599999999</v>
      </c>
      <c r="L430" s="64">
        <f>478188.13+540000+142825.46</f>
        <v>1161013.5900000001</v>
      </c>
      <c r="M430" s="180">
        <f t="shared" si="185"/>
        <v>9233.7700000000186</v>
      </c>
    </row>
    <row r="431" spans="1:13" ht="62.4">
      <c r="A431" s="21" t="s">
        <v>100</v>
      </c>
      <c r="B431" s="19" t="s">
        <v>347</v>
      </c>
      <c r="C431" s="19" t="s">
        <v>12</v>
      </c>
      <c r="D431" s="19" t="s">
        <v>19</v>
      </c>
      <c r="E431" s="19">
        <v>91</v>
      </c>
      <c r="F431" s="20">
        <v>1</v>
      </c>
      <c r="G431" s="19" t="s">
        <v>15</v>
      </c>
      <c r="H431" s="19" t="s">
        <v>101</v>
      </c>
      <c r="I431" s="20"/>
      <c r="J431" s="64">
        <f>SUM(J432:J433)</f>
        <v>1000</v>
      </c>
      <c r="K431" s="64">
        <f t="shared" ref="K431:L431" si="200">SUM(K432:K433)</f>
        <v>1000</v>
      </c>
      <c r="L431" s="64">
        <f t="shared" si="200"/>
        <v>57.27</v>
      </c>
      <c r="M431" s="180">
        <f t="shared" si="185"/>
        <v>942.73</v>
      </c>
    </row>
    <row r="432" spans="1:13" ht="31.2" hidden="1">
      <c r="A432" s="22" t="s">
        <v>22</v>
      </c>
      <c r="B432" s="19" t="s">
        <v>347</v>
      </c>
      <c r="C432" s="19" t="s">
        <v>12</v>
      </c>
      <c r="D432" s="19" t="s">
        <v>19</v>
      </c>
      <c r="E432" s="19">
        <v>91</v>
      </c>
      <c r="F432" s="20">
        <v>1</v>
      </c>
      <c r="G432" s="19" t="s">
        <v>15</v>
      </c>
      <c r="H432" s="19" t="s">
        <v>101</v>
      </c>
      <c r="I432" s="20">
        <v>240</v>
      </c>
      <c r="J432" s="64"/>
      <c r="K432" s="64"/>
      <c r="L432" s="64"/>
      <c r="M432" s="180">
        <f t="shared" si="185"/>
        <v>0</v>
      </c>
    </row>
    <row r="433" spans="1:14">
      <c r="A433" s="22" t="s">
        <v>24</v>
      </c>
      <c r="B433" s="19" t="s">
        <v>347</v>
      </c>
      <c r="C433" s="19" t="s">
        <v>12</v>
      </c>
      <c r="D433" s="19" t="s">
        <v>19</v>
      </c>
      <c r="E433" s="19">
        <v>91</v>
      </c>
      <c r="F433" s="20">
        <v>1</v>
      </c>
      <c r="G433" s="19" t="s">
        <v>15</v>
      </c>
      <c r="H433" s="19" t="s">
        <v>101</v>
      </c>
      <c r="I433" s="20">
        <v>850</v>
      </c>
      <c r="J433" s="64">
        <v>1000</v>
      </c>
      <c r="K433" s="64">
        <v>1000</v>
      </c>
      <c r="L433" s="64">
        <v>57.27</v>
      </c>
      <c r="M433" s="180">
        <f t="shared" si="185"/>
        <v>942.73</v>
      </c>
    </row>
    <row r="434" spans="1:14">
      <c r="A434" s="22" t="s">
        <v>46</v>
      </c>
      <c r="B434" s="19" t="s">
        <v>347</v>
      </c>
      <c r="C434" s="19" t="s">
        <v>12</v>
      </c>
      <c r="D434" s="19" t="s">
        <v>47</v>
      </c>
      <c r="E434" s="19"/>
      <c r="F434" s="19"/>
      <c r="G434" s="19"/>
      <c r="H434" s="19"/>
      <c r="I434" s="19"/>
      <c r="J434" s="64">
        <f>J435</f>
        <v>70000</v>
      </c>
      <c r="K434" s="64">
        <f t="shared" ref="K434:L437" si="201">K435</f>
        <v>70000</v>
      </c>
      <c r="L434" s="64">
        <f t="shared" si="201"/>
        <v>60488</v>
      </c>
      <c r="M434" s="180">
        <f t="shared" si="185"/>
        <v>9512</v>
      </c>
    </row>
    <row r="435" spans="1:14">
      <c r="A435" s="21" t="s">
        <v>95</v>
      </c>
      <c r="B435" s="19" t="s">
        <v>347</v>
      </c>
      <c r="C435" s="19" t="s">
        <v>12</v>
      </c>
      <c r="D435" s="20">
        <v>13</v>
      </c>
      <c r="E435" s="19" t="s">
        <v>169</v>
      </c>
      <c r="F435" s="20">
        <v>0</v>
      </c>
      <c r="G435" s="19" t="s">
        <v>15</v>
      </c>
      <c r="H435" s="19" t="s">
        <v>16</v>
      </c>
      <c r="I435" s="20"/>
      <c r="J435" s="64">
        <f>J436</f>
        <v>70000</v>
      </c>
      <c r="K435" s="64">
        <f t="shared" si="201"/>
        <v>70000</v>
      </c>
      <c r="L435" s="64">
        <f t="shared" si="201"/>
        <v>60488</v>
      </c>
      <c r="M435" s="180">
        <f t="shared" si="185"/>
        <v>9512</v>
      </c>
    </row>
    <row r="436" spans="1:14" ht="31.2">
      <c r="A436" s="21" t="s">
        <v>96</v>
      </c>
      <c r="B436" s="19" t="s">
        <v>347</v>
      </c>
      <c r="C436" s="19" t="s">
        <v>12</v>
      </c>
      <c r="D436" s="20">
        <v>13</v>
      </c>
      <c r="E436" s="20">
        <v>91</v>
      </c>
      <c r="F436" s="20">
        <v>1</v>
      </c>
      <c r="G436" s="19" t="s">
        <v>15</v>
      </c>
      <c r="H436" s="19" t="s">
        <v>16</v>
      </c>
      <c r="I436" s="20"/>
      <c r="J436" s="64">
        <f>J437</f>
        <v>70000</v>
      </c>
      <c r="K436" s="64">
        <f t="shared" si="201"/>
        <v>70000</v>
      </c>
      <c r="L436" s="64">
        <f t="shared" si="201"/>
        <v>60488</v>
      </c>
      <c r="M436" s="180">
        <f t="shared" si="185"/>
        <v>9512</v>
      </c>
    </row>
    <row r="437" spans="1:14" ht="46.8">
      <c r="A437" s="21" t="s">
        <v>170</v>
      </c>
      <c r="B437" s="19" t="s">
        <v>347</v>
      </c>
      <c r="C437" s="19" t="s">
        <v>12</v>
      </c>
      <c r="D437" s="20">
        <v>13</v>
      </c>
      <c r="E437" s="20">
        <v>91</v>
      </c>
      <c r="F437" s="20">
        <v>1</v>
      </c>
      <c r="G437" s="19" t="s">
        <v>15</v>
      </c>
      <c r="H437" s="19" t="s">
        <v>171</v>
      </c>
      <c r="I437" s="20"/>
      <c r="J437" s="64">
        <f>J438</f>
        <v>70000</v>
      </c>
      <c r="K437" s="64">
        <f t="shared" si="201"/>
        <v>70000</v>
      </c>
      <c r="L437" s="64">
        <f t="shared" si="201"/>
        <v>60488</v>
      </c>
      <c r="M437" s="180">
        <f t="shared" si="185"/>
        <v>9512</v>
      </c>
    </row>
    <row r="438" spans="1:14" ht="31.2">
      <c r="A438" s="21" t="s">
        <v>22</v>
      </c>
      <c r="B438" s="19" t="s">
        <v>347</v>
      </c>
      <c r="C438" s="19" t="s">
        <v>12</v>
      </c>
      <c r="D438" s="20">
        <v>13</v>
      </c>
      <c r="E438" s="20">
        <v>91</v>
      </c>
      <c r="F438" s="20">
        <v>1</v>
      </c>
      <c r="G438" s="19" t="s">
        <v>15</v>
      </c>
      <c r="H438" s="19" t="s">
        <v>171</v>
      </c>
      <c r="I438" s="20">
        <v>240</v>
      </c>
      <c r="J438" s="64">
        <v>70000</v>
      </c>
      <c r="K438" s="64">
        <v>70000</v>
      </c>
      <c r="L438" s="64">
        <v>60488</v>
      </c>
      <c r="M438" s="180">
        <f t="shared" si="185"/>
        <v>9512</v>
      </c>
    </row>
    <row r="439" spans="1:14">
      <c r="A439" s="34" t="s">
        <v>91</v>
      </c>
      <c r="B439" s="36"/>
      <c r="C439" s="35"/>
      <c r="D439" s="36"/>
      <c r="E439" s="35"/>
      <c r="F439" s="36"/>
      <c r="G439" s="35"/>
      <c r="H439" s="37"/>
      <c r="I439" s="37"/>
      <c r="J439" s="65">
        <f>J12+J424</f>
        <v>189904287.05000001</v>
      </c>
      <c r="K439" s="65">
        <f>K12+K424</f>
        <v>190472795.74000001</v>
      </c>
      <c r="L439" s="65">
        <f>L12+L424</f>
        <v>134235086.80000001</v>
      </c>
      <c r="M439" s="180">
        <f>J439-L439</f>
        <v>55669200.25</v>
      </c>
      <c r="N439" s="180">
        <f>134235086.8-L439</f>
        <v>0</v>
      </c>
    </row>
    <row r="440" spans="1:14">
      <c r="I440" s="7">
        <v>1</v>
      </c>
      <c r="J440" s="67">
        <f>J425+J13</f>
        <v>23907583.91</v>
      </c>
      <c r="K440" s="67">
        <f>K425+K13</f>
        <v>23907583.91</v>
      </c>
      <c r="L440" s="67">
        <f>L425+L13</f>
        <v>20874526.189999998</v>
      </c>
    </row>
    <row r="441" spans="1:14">
      <c r="I441" s="7">
        <v>2</v>
      </c>
      <c r="J441" s="67">
        <f>J141</f>
        <v>487150</v>
      </c>
      <c r="K441" s="67">
        <f>K141</f>
        <v>487150</v>
      </c>
      <c r="L441" s="67">
        <f>L141</f>
        <v>487150</v>
      </c>
    </row>
    <row r="442" spans="1:14">
      <c r="I442" s="7">
        <v>3</v>
      </c>
      <c r="J442" s="67">
        <f>J148</f>
        <v>1861665.96</v>
      </c>
      <c r="K442" s="67">
        <f>K148</f>
        <v>1861665.96</v>
      </c>
      <c r="L442" s="67">
        <f>L148</f>
        <v>1038185.57</v>
      </c>
    </row>
    <row r="443" spans="1:14">
      <c r="I443" s="7">
        <v>4</v>
      </c>
      <c r="J443" s="67">
        <f>J192</f>
        <v>51507474.470000014</v>
      </c>
      <c r="K443" s="67">
        <f>K192</f>
        <v>51526131.469999999</v>
      </c>
      <c r="L443" s="67">
        <f>L192</f>
        <v>13771001.760000002</v>
      </c>
    </row>
    <row r="444" spans="1:14">
      <c r="I444" s="7">
        <v>5</v>
      </c>
      <c r="J444" s="67">
        <f>J224</f>
        <v>65799341.579999998</v>
      </c>
      <c r="K444" s="67">
        <f>K224</f>
        <v>65799341.580000006</v>
      </c>
      <c r="L444" s="67">
        <f>L224</f>
        <v>61410084.140000001</v>
      </c>
    </row>
    <row r="445" spans="1:14">
      <c r="I445" s="7">
        <v>7</v>
      </c>
      <c r="J445" s="67">
        <f>J327</f>
        <v>2529309.2000000002</v>
      </c>
      <c r="K445" s="67">
        <f>K327</f>
        <v>2529309.2000000002</v>
      </c>
      <c r="L445" s="67">
        <f>L327</f>
        <v>2516309.2000000002</v>
      </c>
    </row>
    <row r="446" spans="1:14">
      <c r="I446" s="7">
        <v>8</v>
      </c>
      <c r="J446" s="67">
        <f>J339</f>
        <v>38691733.999999993</v>
      </c>
      <c r="K446" s="67">
        <f>K339</f>
        <v>39241585.68999999</v>
      </c>
      <c r="L446" s="67">
        <f>L339</f>
        <v>30049062.470000003</v>
      </c>
    </row>
    <row r="447" spans="1:14">
      <c r="I447" s="7">
        <v>9</v>
      </c>
      <c r="K447" s="8"/>
      <c r="L447" s="8"/>
    </row>
    <row r="448" spans="1:14">
      <c r="I448" s="7">
        <v>10</v>
      </c>
      <c r="J448" s="67">
        <f>J392</f>
        <v>667808</v>
      </c>
      <c r="K448" s="67">
        <f t="shared" ref="K448:L448" si="202">K392</f>
        <v>667808</v>
      </c>
      <c r="L448" s="67">
        <f t="shared" si="202"/>
        <v>501997.5</v>
      </c>
    </row>
    <row r="449" spans="9:12">
      <c r="I449" s="7">
        <v>11</v>
      </c>
      <c r="J449" s="67">
        <f>J406</f>
        <v>3152219.9299999997</v>
      </c>
      <c r="K449" s="67">
        <f t="shared" ref="K449:L449" si="203">K406</f>
        <v>3152219.9299999997</v>
      </c>
      <c r="L449" s="67">
        <f t="shared" si="203"/>
        <v>3074196.91</v>
      </c>
    </row>
    <row r="450" spans="9:12">
      <c r="I450" s="7">
        <v>12</v>
      </c>
      <c r="J450" s="67">
        <f>J418</f>
        <v>1300000</v>
      </c>
      <c r="K450" s="67">
        <f t="shared" ref="K450:L450" si="204">K418</f>
        <v>1300000</v>
      </c>
      <c r="L450" s="67">
        <f t="shared" si="204"/>
        <v>512573.06</v>
      </c>
    </row>
    <row r="451" spans="9:12">
      <c r="J451" s="67">
        <f>SUM(J440:J450)</f>
        <v>189904287.05000001</v>
      </c>
      <c r="K451" s="67">
        <f t="shared" ref="K451:L451" si="205">SUM(K440:K450)</f>
        <v>190472795.74000001</v>
      </c>
      <c r="L451" s="67">
        <f t="shared" si="205"/>
        <v>134235086.79999998</v>
      </c>
    </row>
    <row r="452" spans="9:12">
      <c r="I452" s="7" t="s">
        <v>387</v>
      </c>
      <c r="J452" s="67">
        <f>J15+J61+J74+J94+J105+J109+J113+J150+J175+J194+J219+J226+J244+J253+J288+J304+J310+J329+J333+J341+J359+J367+J384+J408+J420</f>
        <v>171900222.76000002</v>
      </c>
      <c r="K452" s="67">
        <f>K15+K61+K74+K94+K105+K109+K113+K150+K175+K194+K219+K226+K244+K253+K288+K304+K310+K329+K333+K341+K359+K367+K384+K408+K420</f>
        <v>171900222.76000002</v>
      </c>
      <c r="L452" s="67">
        <f>L15+L61+L74+L94+L105+L109+L113+L150+L175+L194+L219+L226+L244+L253+L288+L304+L310+L329+L333+L341+L359+L367+L384+L408+L420</f>
        <v>116099796.28</v>
      </c>
    </row>
    <row r="453" spans="9:12">
      <c r="I453" s="7" t="s">
        <v>627</v>
      </c>
      <c r="J453" s="67">
        <f>'Прил 1'!C42</f>
        <v>142550573.36000001</v>
      </c>
      <c r="K453" s="67">
        <f>'Прил 1'!D42</f>
        <v>142550573.36000001</v>
      </c>
      <c r="L453" s="67">
        <f>'Прил 1'!E42</f>
        <v>152061858.94999999</v>
      </c>
    </row>
    <row r="454" spans="9:12">
      <c r="J454" s="67">
        <f>J453-J451</f>
        <v>-47353713.689999998</v>
      </c>
      <c r="K454" s="67">
        <f t="shared" ref="K454:L454" si="206">K453-K451</f>
        <v>-47922222.379999995</v>
      </c>
      <c r="L454" s="67">
        <f t="shared" si="206"/>
        <v>17826772.150000006</v>
      </c>
    </row>
  </sheetData>
  <mergeCells count="8">
    <mergeCell ref="E11:H11"/>
    <mergeCell ref="A8:L8"/>
    <mergeCell ref="I1:L1"/>
    <mergeCell ref="I2:L2"/>
    <mergeCell ref="I3:L3"/>
    <mergeCell ref="I4:L4"/>
    <mergeCell ref="I5:L5"/>
    <mergeCell ref="I6:L6"/>
  </mergeCells>
  <pageMargins left="0.78740157480314965" right="0.19685039370078741" top="0.39370078740157483" bottom="0.39370078740157483" header="0" footer="0.19685039370078741"/>
  <pageSetup paperSize="9" scale="8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80"/>
  </sheetPr>
  <dimension ref="A1:K170"/>
  <sheetViews>
    <sheetView view="pageBreakPreview" topLeftCell="A116" zoomScaleNormal="100" zoomScaleSheetLayoutView="100" workbookViewId="0">
      <selection activeCell="A52" sqref="A52"/>
    </sheetView>
  </sheetViews>
  <sheetFormatPr defaultColWidth="8.88671875" defaultRowHeight="15.6"/>
  <cols>
    <col min="1" max="1" width="65.109375" style="6" customWidth="1"/>
    <col min="2" max="2" width="4.44140625" style="7" customWidth="1"/>
    <col min="3" max="3" width="4.6640625" style="7" customWidth="1"/>
    <col min="4" max="4" width="4.44140625" style="7" customWidth="1"/>
    <col min="5" max="5" width="7.5546875" style="7" customWidth="1"/>
    <col min="6" max="6" width="9.33203125" style="7" customWidth="1"/>
    <col min="7" max="8" width="6.6640625" style="7" customWidth="1"/>
    <col min="9" max="9" width="18.33203125" style="8" customWidth="1"/>
    <col min="10" max="10" width="15.109375" style="1" customWidth="1"/>
    <col min="11" max="11" width="15.6640625" style="1" customWidth="1"/>
    <col min="12" max="16384" width="8.88671875" style="1"/>
  </cols>
  <sheetData>
    <row r="1" spans="1:11">
      <c r="C1" s="72"/>
      <c r="D1" s="72"/>
      <c r="E1" s="72"/>
      <c r="F1" s="72"/>
      <c r="G1" s="72"/>
      <c r="H1" s="244" t="s">
        <v>617</v>
      </c>
      <c r="I1" s="244"/>
      <c r="J1" s="244"/>
      <c r="K1" s="244"/>
    </row>
    <row r="2" spans="1:11">
      <c r="C2" s="72"/>
      <c r="D2" s="72"/>
      <c r="E2" s="72"/>
      <c r="F2" s="72"/>
      <c r="G2" s="72"/>
      <c r="H2" s="244" t="s">
        <v>3</v>
      </c>
      <c r="I2" s="244"/>
      <c r="J2" s="244"/>
      <c r="K2" s="244"/>
    </row>
    <row r="3" spans="1:11">
      <c r="C3" s="72"/>
      <c r="D3" s="72"/>
      <c r="E3" s="72"/>
      <c r="F3" s="72"/>
      <c r="G3" s="72"/>
      <c r="H3" s="244" t="s">
        <v>486</v>
      </c>
      <c r="I3" s="244"/>
      <c r="J3" s="244"/>
      <c r="K3" s="244"/>
    </row>
    <row r="4" spans="1:11">
      <c r="C4" s="72"/>
      <c r="D4" s="72"/>
      <c r="E4" s="72"/>
      <c r="F4" s="72"/>
      <c r="G4" s="72"/>
      <c r="H4" s="244" t="s">
        <v>487</v>
      </c>
      <c r="I4" s="244"/>
      <c r="J4" s="244"/>
      <c r="K4" s="244"/>
    </row>
    <row r="5" spans="1:11">
      <c r="C5" s="72"/>
      <c r="D5" s="72"/>
      <c r="E5" s="72"/>
      <c r="F5" s="72"/>
      <c r="G5" s="72"/>
      <c r="H5" s="244" t="s">
        <v>488</v>
      </c>
      <c r="I5" s="244"/>
      <c r="J5" s="244"/>
      <c r="K5" s="244"/>
    </row>
    <row r="6" spans="1:11">
      <c r="C6" s="72"/>
      <c r="D6" s="72"/>
      <c r="E6" s="72"/>
      <c r="F6" s="72"/>
      <c r="G6" s="72"/>
      <c r="H6" s="244" t="s">
        <v>489</v>
      </c>
      <c r="I6" s="244"/>
      <c r="J6" s="244"/>
      <c r="K6" s="244"/>
    </row>
    <row r="7" spans="1:11">
      <c r="C7" s="72"/>
      <c r="D7" s="72"/>
      <c r="E7" s="72"/>
      <c r="F7" s="72"/>
      <c r="G7" s="72"/>
      <c r="H7" s="72"/>
      <c r="I7" s="72"/>
      <c r="J7" s="72"/>
    </row>
    <row r="8" spans="1:11" ht="74.25" customHeight="1">
      <c r="A8" s="255" t="s">
        <v>616</v>
      </c>
      <c r="B8" s="255"/>
      <c r="C8" s="255"/>
      <c r="D8" s="255"/>
      <c r="E8" s="255"/>
      <c r="F8" s="255"/>
      <c r="G8" s="255"/>
      <c r="H8" s="255"/>
      <c r="I8" s="255"/>
      <c r="J8" s="255"/>
      <c r="K8" s="255"/>
    </row>
    <row r="9" spans="1:11">
      <c r="A9" s="2"/>
      <c r="B9" s="3"/>
      <c r="C9" s="3"/>
      <c r="D9" s="3"/>
      <c r="E9" s="3"/>
      <c r="F9" s="3"/>
      <c r="G9" s="3"/>
      <c r="H9" s="3"/>
      <c r="I9" s="4"/>
    </row>
    <row r="10" spans="1:11">
      <c r="A10" s="182"/>
      <c r="B10" s="182"/>
      <c r="C10" s="182"/>
      <c r="D10" s="182"/>
      <c r="E10" s="182"/>
      <c r="F10" s="182"/>
      <c r="G10" s="182"/>
      <c r="H10" s="182"/>
      <c r="I10" s="182"/>
      <c r="K10" s="1" t="s">
        <v>2</v>
      </c>
    </row>
    <row r="11" spans="1:11" ht="202.8">
      <c r="A11" s="5" t="s">
        <v>6</v>
      </c>
      <c r="B11" s="258" t="s">
        <v>9</v>
      </c>
      <c r="C11" s="259"/>
      <c r="D11" s="259"/>
      <c r="E11" s="259"/>
      <c r="F11" s="5" t="s">
        <v>348</v>
      </c>
      <c r="G11" s="5" t="s">
        <v>336</v>
      </c>
      <c r="H11" s="5" t="s">
        <v>337</v>
      </c>
      <c r="I11" s="102" t="s">
        <v>491</v>
      </c>
      <c r="J11" s="102" t="s">
        <v>490</v>
      </c>
      <c r="K11" s="102" t="s">
        <v>492</v>
      </c>
    </row>
    <row r="12" spans="1:11" ht="46.8">
      <c r="A12" s="51" t="s">
        <v>130</v>
      </c>
      <c r="B12" s="52" t="s">
        <v>12</v>
      </c>
      <c r="C12" s="53" t="s">
        <v>14</v>
      </c>
      <c r="D12" s="52" t="s">
        <v>15</v>
      </c>
      <c r="E12" s="52" t="s">
        <v>16</v>
      </c>
      <c r="F12" s="54" t="s">
        <v>341</v>
      </c>
      <c r="G12" s="55" t="s">
        <v>341</v>
      </c>
      <c r="H12" s="55" t="s">
        <v>341</v>
      </c>
      <c r="I12" s="56">
        <f>I13+I18</f>
        <v>8586041</v>
      </c>
      <c r="J12" s="56">
        <f t="shared" ref="J12:K12" si="0">J13+J18</f>
        <v>8586041</v>
      </c>
      <c r="K12" s="56">
        <f t="shared" si="0"/>
        <v>5845423.7299999995</v>
      </c>
    </row>
    <row r="13" spans="1:11">
      <c r="A13" s="57" t="s">
        <v>349</v>
      </c>
      <c r="B13" s="58" t="s">
        <v>12</v>
      </c>
      <c r="C13" s="10" t="s">
        <v>17</v>
      </c>
      <c r="D13" s="58" t="s">
        <v>15</v>
      </c>
      <c r="E13" s="58" t="s">
        <v>16</v>
      </c>
      <c r="F13" s="41" t="s">
        <v>341</v>
      </c>
      <c r="G13" s="9" t="s">
        <v>341</v>
      </c>
      <c r="H13" s="9" t="s">
        <v>341</v>
      </c>
      <c r="I13" s="59">
        <f>SUM(I14:I17)</f>
        <v>8046041</v>
      </c>
      <c r="J13" s="59">
        <f t="shared" ref="J13:K13" si="1">SUM(J14:J17)</f>
        <v>8046041.0000000009</v>
      </c>
      <c r="K13" s="59">
        <f t="shared" si="1"/>
        <v>5374746.7199999997</v>
      </c>
    </row>
    <row r="14" spans="1:11">
      <c r="A14" s="57" t="s">
        <v>411</v>
      </c>
      <c r="B14" s="58" t="s">
        <v>12</v>
      </c>
      <c r="C14" s="10" t="s">
        <v>17</v>
      </c>
      <c r="D14" s="58" t="s">
        <v>15</v>
      </c>
      <c r="E14" s="58" t="s">
        <v>410</v>
      </c>
      <c r="F14" s="41">
        <v>240</v>
      </c>
      <c r="G14" s="9">
        <v>1</v>
      </c>
      <c r="H14" s="9">
        <v>13</v>
      </c>
      <c r="I14" s="59">
        <f>'Прил 6'!J64</f>
        <v>200000</v>
      </c>
      <c r="J14" s="59">
        <f>'Прил 6'!K64</f>
        <v>200000</v>
      </c>
      <c r="K14" s="59">
        <f>'Прил 6'!L64</f>
        <v>197190</v>
      </c>
    </row>
    <row r="15" spans="1:11">
      <c r="A15" s="57" t="s">
        <v>132</v>
      </c>
      <c r="B15" s="58" t="s">
        <v>12</v>
      </c>
      <c r="C15" s="10" t="s">
        <v>17</v>
      </c>
      <c r="D15" s="58" t="s">
        <v>15</v>
      </c>
      <c r="E15" s="58">
        <v>29060</v>
      </c>
      <c r="F15" s="41">
        <v>240</v>
      </c>
      <c r="G15" s="9">
        <v>1</v>
      </c>
      <c r="H15" s="9">
        <v>13</v>
      </c>
      <c r="I15" s="59">
        <f>'Прил 6'!J65</f>
        <v>4828715.84</v>
      </c>
      <c r="J15" s="59">
        <f>'Прил 6'!K65</f>
        <v>5057825.0600000005</v>
      </c>
      <c r="K15" s="59">
        <f>'Прил 6'!L65</f>
        <v>4944591.04</v>
      </c>
    </row>
    <row r="16" spans="1:11" ht="31.2">
      <c r="A16" s="57" t="s">
        <v>134</v>
      </c>
      <c r="B16" s="58" t="s">
        <v>12</v>
      </c>
      <c r="C16" s="10" t="s">
        <v>17</v>
      </c>
      <c r="D16" s="58" t="s">
        <v>15</v>
      </c>
      <c r="E16" s="58">
        <v>29270</v>
      </c>
      <c r="F16" s="41">
        <v>240</v>
      </c>
      <c r="G16" s="9">
        <v>1</v>
      </c>
      <c r="H16" s="9">
        <v>13</v>
      </c>
      <c r="I16" s="59">
        <f>'Прил 6'!J68</f>
        <v>2761603.56</v>
      </c>
      <c r="J16" s="59">
        <f>'Прил 6'!K68</f>
        <v>2761603.56</v>
      </c>
      <c r="K16" s="59">
        <f>'Прил 6'!L68</f>
        <v>211655.21</v>
      </c>
    </row>
    <row r="17" spans="1:11">
      <c r="A17" s="57" t="s">
        <v>136</v>
      </c>
      <c r="B17" s="58" t="s">
        <v>12</v>
      </c>
      <c r="C17" s="10" t="s">
        <v>17</v>
      </c>
      <c r="D17" s="58" t="s">
        <v>15</v>
      </c>
      <c r="E17" s="58">
        <v>29290</v>
      </c>
      <c r="F17" s="41">
        <v>240</v>
      </c>
      <c r="G17" s="9">
        <v>1</v>
      </c>
      <c r="H17" s="9">
        <v>13</v>
      </c>
      <c r="I17" s="59">
        <f>'Прил 6'!J70</f>
        <v>255721.59999999998</v>
      </c>
      <c r="J17" s="59">
        <f>'Прил 6'!K70</f>
        <v>26612.379999999997</v>
      </c>
      <c r="K17" s="59">
        <f>'Прил 6'!L70</f>
        <v>21310.47</v>
      </c>
    </row>
    <row r="18" spans="1:11" ht="31.2">
      <c r="A18" s="57" t="s">
        <v>350</v>
      </c>
      <c r="B18" s="58" t="s">
        <v>12</v>
      </c>
      <c r="C18" s="10">
        <v>2</v>
      </c>
      <c r="D18" s="58" t="s">
        <v>15</v>
      </c>
      <c r="E18" s="58" t="s">
        <v>16</v>
      </c>
      <c r="F18" s="41"/>
      <c r="G18" s="9"/>
      <c r="H18" s="9"/>
      <c r="I18" s="59">
        <f>I19</f>
        <v>540000</v>
      </c>
      <c r="J18" s="59">
        <f t="shared" ref="J18:K18" si="2">J19</f>
        <v>540000</v>
      </c>
      <c r="K18" s="59">
        <f t="shared" si="2"/>
        <v>470677.01</v>
      </c>
    </row>
    <row r="19" spans="1:11" ht="31.2">
      <c r="A19" s="57" t="s">
        <v>139</v>
      </c>
      <c r="B19" s="58" t="s">
        <v>12</v>
      </c>
      <c r="C19" s="10">
        <v>2</v>
      </c>
      <c r="D19" s="58" t="s">
        <v>15</v>
      </c>
      <c r="E19" s="58">
        <v>29070</v>
      </c>
      <c r="F19" s="41">
        <v>240</v>
      </c>
      <c r="G19" s="9">
        <v>1</v>
      </c>
      <c r="H19" s="9">
        <v>13</v>
      </c>
      <c r="I19" s="59">
        <f>'Прил 6'!J73</f>
        <v>540000</v>
      </c>
      <c r="J19" s="59">
        <f>'Прил 6'!K73</f>
        <v>540000</v>
      </c>
      <c r="K19" s="59">
        <f>'Прил 6'!L73</f>
        <v>470677.01</v>
      </c>
    </row>
    <row r="20" spans="1:11" ht="93.6">
      <c r="A20" s="57" t="s">
        <v>179</v>
      </c>
      <c r="B20" s="58" t="s">
        <v>13</v>
      </c>
      <c r="C20" s="10" t="s">
        <v>14</v>
      </c>
      <c r="D20" s="58" t="s">
        <v>15</v>
      </c>
      <c r="E20" s="58" t="s">
        <v>16</v>
      </c>
      <c r="F20" s="41" t="s">
        <v>341</v>
      </c>
      <c r="G20" s="9" t="s">
        <v>341</v>
      </c>
      <c r="H20" s="9" t="s">
        <v>341</v>
      </c>
      <c r="I20" s="59">
        <f>I21+I27+I29+I32+I34</f>
        <v>1479213.4600000002</v>
      </c>
      <c r="J20" s="59">
        <f t="shared" ref="J20:K20" si="3">J21+J27+J29+J32+J34</f>
        <v>1479213.46</v>
      </c>
      <c r="K20" s="59">
        <f t="shared" si="3"/>
        <v>655733.07000000007</v>
      </c>
    </row>
    <row r="21" spans="1:11" ht="31.2" hidden="1">
      <c r="A21" s="57" t="s">
        <v>351</v>
      </c>
      <c r="B21" s="58" t="s">
        <v>13</v>
      </c>
      <c r="C21" s="10" t="s">
        <v>17</v>
      </c>
      <c r="D21" s="58" t="s">
        <v>15</v>
      </c>
      <c r="E21" s="58" t="s">
        <v>16</v>
      </c>
      <c r="F21" s="41" t="s">
        <v>341</v>
      </c>
      <c r="G21" s="9" t="s">
        <v>341</v>
      </c>
      <c r="H21" s="9" t="s">
        <v>341</v>
      </c>
      <c r="I21" s="59">
        <f>SUM(I22:I26)</f>
        <v>0</v>
      </c>
      <c r="J21" s="59">
        <f t="shared" ref="J21:K21" si="4">SUM(J22:J26)</f>
        <v>0</v>
      </c>
      <c r="K21" s="59">
        <f t="shared" si="4"/>
        <v>0</v>
      </c>
    </row>
    <row r="22" spans="1:11" ht="31.2" hidden="1">
      <c r="A22" s="57" t="s">
        <v>181</v>
      </c>
      <c r="B22" s="58" t="s">
        <v>13</v>
      </c>
      <c r="C22" s="10">
        <v>1</v>
      </c>
      <c r="D22" s="58" t="s">
        <v>15</v>
      </c>
      <c r="E22" s="58">
        <v>29080</v>
      </c>
      <c r="F22" s="41">
        <v>240</v>
      </c>
      <c r="G22" s="9">
        <v>3</v>
      </c>
      <c r="H22" s="9">
        <v>9</v>
      </c>
      <c r="I22" s="59">
        <f>'Прил 6'!J153</f>
        <v>0</v>
      </c>
      <c r="J22" s="59">
        <f>'Прил 6'!K153</f>
        <v>0</v>
      </c>
      <c r="K22" s="59">
        <f>'Прил 6'!L153</f>
        <v>0</v>
      </c>
    </row>
    <row r="23" spans="1:11" hidden="1">
      <c r="A23" s="57" t="s">
        <v>183</v>
      </c>
      <c r="B23" s="58" t="s">
        <v>13</v>
      </c>
      <c r="C23" s="10">
        <v>1</v>
      </c>
      <c r="D23" s="58" t="s">
        <v>15</v>
      </c>
      <c r="E23" s="58">
        <v>29320</v>
      </c>
      <c r="F23" s="41">
        <v>240</v>
      </c>
      <c r="G23" s="9">
        <v>3</v>
      </c>
      <c r="H23" s="9">
        <v>9</v>
      </c>
      <c r="I23" s="59">
        <f>'Прил 6'!J155</f>
        <v>0</v>
      </c>
      <c r="J23" s="59">
        <f>'Прил 6'!K155</f>
        <v>0</v>
      </c>
      <c r="K23" s="59">
        <f>'Прил 6'!L155</f>
        <v>0</v>
      </c>
    </row>
    <row r="24" spans="1:11" ht="31.2" hidden="1">
      <c r="A24" s="57" t="s">
        <v>185</v>
      </c>
      <c r="B24" s="58" t="s">
        <v>13</v>
      </c>
      <c r="C24" s="10">
        <v>1</v>
      </c>
      <c r="D24" s="58" t="s">
        <v>15</v>
      </c>
      <c r="E24" s="58">
        <v>29510</v>
      </c>
      <c r="F24" s="41">
        <v>240</v>
      </c>
      <c r="G24" s="9">
        <v>3</v>
      </c>
      <c r="H24" s="9">
        <v>9</v>
      </c>
      <c r="I24" s="59">
        <f>'Прил 6'!J157</f>
        <v>0</v>
      </c>
      <c r="J24" s="59">
        <f>'Прил 6'!K157</f>
        <v>0</v>
      </c>
      <c r="K24" s="59">
        <f>'Прил 6'!L157</f>
        <v>0</v>
      </c>
    </row>
    <row r="25" spans="1:11" ht="46.8" hidden="1">
      <c r="A25" s="57" t="s">
        <v>187</v>
      </c>
      <c r="B25" s="58" t="s">
        <v>13</v>
      </c>
      <c r="C25" s="10">
        <v>1</v>
      </c>
      <c r="D25" s="58" t="s">
        <v>15</v>
      </c>
      <c r="E25" s="58">
        <v>29560</v>
      </c>
      <c r="F25" s="41">
        <v>240</v>
      </c>
      <c r="G25" s="9">
        <v>3</v>
      </c>
      <c r="H25" s="9">
        <v>9</v>
      </c>
      <c r="I25" s="59">
        <f>'Прил 6'!J159</f>
        <v>0</v>
      </c>
      <c r="J25" s="59">
        <f>'Прил 6'!K159</f>
        <v>0</v>
      </c>
      <c r="K25" s="59">
        <f>'Прил 6'!L159</f>
        <v>0</v>
      </c>
    </row>
    <row r="26" spans="1:11" hidden="1">
      <c r="A26" s="57" t="s">
        <v>189</v>
      </c>
      <c r="B26" s="58" t="s">
        <v>13</v>
      </c>
      <c r="C26" s="10">
        <v>1</v>
      </c>
      <c r="D26" s="58" t="s">
        <v>15</v>
      </c>
      <c r="E26" s="58">
        <v>29580</v>
      </c>
      <c r="F26" s="41">
        <v>240</v>
      </c>
      <c r="G26" s="9">
        <v>3</v>
      </c>
      <c r="H26" s="9">
        <v>9</v>
      </c>
      <c r="I26" s="59">
        <f>'Прил 6'!J161</f>
        <v>0</v>
      </c>
      <c r="J26" s="59">
        <f>'Прил 6'!K161</f>
        <v>0</v>
      </c>
      <c r="K26" s="59">
        <f>'Прил 6'!L161</f>
        <v>0</v>
      </c>
    </row>
    <row r="27" spans="1:11" ht="62.4" hidden="1">
      <c r="A27" s="57" t="s">
        <v>352</v>
      </c>
      <c r="B27" s="58" t="s">
        <v>13</v>
      </c>
      <c r="C27" s="10">
        <v>2</v>
      </c>
      <c r="D27" s="58" t="s">
        <v>15</v>
      </c>
      <c r="E27" s="58" t="s">
        <v>16</v>
      </c>
      <c r="F27" s="41"/>
      <c r="G27" s="9"/>
      <c r="H27" s="9"/>
      <c r="I27" s="59">
        <f>I28</f>
        <v>0</v>
      </c>
      <c r="J27" s="59">
        <f t="shared" ref="J27:K27" si="5">J28</f>
        <v>0</v>
      </c>
      <c r="K27" s="59">
        <f t="shared" si="5"/>
        <v>0</v>
      </c>
    </row>
    <row r="28" spans="1:11" ht="31.2" hidden="1">
      <c r="A28" s="57" t="s">
        <v>192</v>
      </c>
      <c r="B28" s="58" t="s">
        <v>13</v>
      </c>
      <c r="C28" s="10">
        <v>2</v>
      </c>
      <c r="D28" s="58" t="s">
        <v>15</v>
      </c>
      <c r="E28" s="58">
        <v>29030</v>
      </c>
      <c r="F28" s="41">
        <v>240</v>
      </c>
      <c r="G28" s="9">
        <v>3</v>
      </c>
      <c r="H28" s="9">
        <v>9</v>
      </c>
      <c r="I28" s="59">
        <f>'Прил 6'!J164</f>
        <v>0</v>
      </c>
      <c r="J28" s="59">
        <f>'Прил 6'!K164</f>
        <v>0</v>
      </c>
      <c r="K28" s="59">
        <f>'Прил 6'!L164</f>
        <v>0</v>
      </c>
    </row>
    <row r="29" spans="1:11" ht="62.4">
      <c r="A29" s="57" t="s">
        <v>353</v>
      </c>
      <c r="B29" s="58" t="s">
        <v>13</v>
      </c>
      <c r="C29" s="10">
        <v>3</v>
      </c>
      <c r="D29" s="58" t="s">
        <v>15</v>
      </c>
      <c r="E29" s="58" t="s">
        <v>16</v>
      </c>
      <c r="F29" s="41"/>
      <c r="G29" s="9"/>
      <c r="H29" s="9"/>
      <c r="I29" s="59">
        <f>SUM(I30:I31)</f>
        <v>277561.11</v>
      </c>
      <c r="J29" s="59">
        <f t="shared" ref="J29:K29" si="6">SUM(J30:J31)</f>
        <v>277561.11</v>
      </c>
      <c r="K29" s="59">
        <f t="shared" si="6"/>
        <v>277561.11</v>
      </c>
    </row>
    <row r="30" spans="1:11" ht="31.2">
      <c r="A30" s="57" t="s">
        <v>195</v>
      </c>
      <c r="B30" s="58" t="s">
        <v>13</v>
      </c>
      <c r="C30" s="10">
        <v>3</v>
      </c>
      <c r="D30" s="58" t="s">
        <v>15</v>
      </c>
      <c r="E30" s="58">
        <v>29520</v>
      </c>
      <c r="F30" s="41">
        <v>240</v>
      </c>
      <c r="G30" s="9">
        <v>3</v>
      </c>
      <c r="H30" s="9">
        <v>9</v>
      </c>
      <c r="I30" s="59">
        <f>'Прил 6'!J167</f>
        <v>277561.11</v>
      </c>
      <c r="J30" s="59">
        <f>'Прил 6'!K167</f>
        <v>277561.11</v>
      </c>
      <c r="K30" s="59">
        <f>'Прил 6'!L167</f>
        <v>277561.11</v>
      </c>
    </row>
    <row r="31" spans="1:11" ht="31.2" hidden="1">
      <c r="A31" s="57" t="s">
        <v>197</v>
      </c>
      <c r="B31" s="58" t="s">
        <v>13</v>
      </c>
      <c r="C31" s="10">
        <v>3</v>
      </c>
      <c r="D31" s="58" t="s">
        <v>15</v>
      </c>
      <c r="E31" s="58">
        <v>29540</v>
      </c>
      <c r="F31" s="41">
        <v>240</v>
      </c>
      <c r="G31" s="9">
        <v>3</v>
      </c>
      <c r="H31" s="9">
        <v>9</v>
      </c>
      <c r="I31" s="59">
        <f>'Прил 6'!J169</f>
        <v>0</v>
      </c>
      <c r="J31" s="59">
        <f>'Прил 6'!K169</f>
        <v>0</v>
      </c>
      <c r="K31" s="59">
        <f>'Прил 6'!L169</f>
        <v>0</v>
      </c>
    </row>
    <row r="32" spans="1:11" ht="31.2">
      <c r="A32" s="57" t="s">
        <v>354</v>
      </c>
      <c r="B32" s="58" t="s">
        <v>13</v>
      </c>
      <c r="C32" s="10">
        <v>4</v>
      </c>
      <c r="D32" s="58" t="s">
        <v>15</v>
      </c>
      <c r="E32" s="58" t="s">
        <v>16</v>
      </c>
      <c r="F32" s="41"/>
      <c r="G32" s="9"/>
      <c r="H32" s="9"/>
      <c r="I32" s="59">
        <f>I33</f>
        <v>85171.96</v>
      </c>
      <c r="J32" s="59">
        <f t="shared" ref="J32:K32" si="7">J33</f>
        <v>85171.96</v>
      </c>
      <c r="K32" s="59">
        <f t="shared" si="7"/>
        <v>85171.96</v>
      </c>
    </row>
    <row r="33" spans="1:11">
      <c r="A33" s="57" t="s">
        <v>202</v>
      </c>
      <c r="B33" s="58" t="s">
        <v>13</v>
      </c>
      <c r="C33" s="10">
        <v>4</v>
      </c>
      <c r="D33" s="58" t="s">
        <v>15</v>
      </c>
      <c r="E33" s="58">
        <v>29530</v>
      </c>
      <c r="F33" s="41">
        <v>240</v>
      </c>
      <c r="G33" s="9">
        <v>3</v>
      </c>
      <c r="H33" s="9">
        <v>10</v>
      </c>
      <c r="I33" s="59">
        <f>'Прил 6'!J178</f>
        <v>85171.96</v>
      </c>
      <c r="J33" s="59">
        <f>'Прил 6'!K178</f>
        <v>85171.96</v>
      </c>
      <c r="K33" s="59">
        <f>'Прил 6'!L178</f>
        <v>85171.96</v>
      </c>
    </row>
    <row r="34" spans="1:11" ht="31.2">
      <c r="A34" s="57" t="s">
        <v>399</v>
      </c>
      <c r="B34" s="58" t="s">
        <v>13</v>
      </c>
      <c r="C34" s="10">
        <v>5</v>
      </c>
      <c r="D34" s="58" t="s">
        <v>15</v>
      </c>
      <c r="E34" s="58" t="s">
        <v>16</v>
      </c>
      <c r="F34" s="41"/>
      <c r="G34" s="9"/>
      <c r="H34" s="9"/>
      <c r="I34" s="59">
        <f>I35</f>
        <v>1116480.3900000001</v>
      </c>
      <c r="J34" s="59">
        <f t="shared" ref="J34:K34" si="8">J35</f>
        <v>1116480.3899999999</v>
      </c>
      <c r="K34" s="59">
        <f t="shared" si="8"/>
        <v>293000</v>
      </c>
    </row>
    <row r="35" spans="1:11">
      <c r="A35" s="57" t="s">
        <v>395</v>
      </c>
      <c r="B35" s="58" t="s">
        <v>13</v>
      </c>
      <c r="C35" s="10">
        <v>5</v>
      </c>
      <c r="D35" s="58" t="s">
        <v>15</v>
      </c>
      <c r="E35" s="58" t="s">
        <v>394</v>
      </c>
      <c r="F35" s="41">
        <v>240</v>
      </c>
      <c r="G35" s="9">
        <v>3</v>
      </c>
      <c r="H35" s="9">
        <v>10</v>
      </c>
      <c r="I35" s="59">
        <f>'Прил 6'!J183</f>
        <v>1116480.3900000001</v>
      </c>
      <c r="J35" s="59">
        <f>'Прил 6'!K183</f>
        <v>1116480.3899999999</v>
      </c>
      <c r="K35" s="59">
        <f>'Прил 6'!L183</f>
        <v>293000</v>
      </c>
    </row>
    <row r="36" spans="1:11" ht="31.2" hidden="1">
      <c r="A36" s="57" t="s">
        <v>204</v>
      </c>
      <c r="B36" s="58" t="s">
        <v>13</v>
      </c>
      <c r="C36" s="10">
        <v>4</v>
      </c>
      <c r="D36" s="58" t="s">
        <v>15</v>
      </c>
      <c r="E36" s="58" t="s">
        <v>205</v>
      </c>
      <c r="F36" s="41">
        <v>240</v>
      </c>
      <c r="G36" s="9">
        <v>3</v>
      </c>
      <c r="H36" s="9">
        <v>10</v>
      </c>
      <c r="I36" s="59">
        <f>'Прил 6'!J180</f>
        <v>0</v>
      </c>
      <c r="J36" s="59">
        <f>'Прил 6'!K180</f>
        <v>0</v>
      </c>
      <c r="K36" s="59">
        <f>'Прил 6'!L180</f>
        <v>0</v>
      </c>
    </row>
    <row r="37" spans="1:11" ht="46.8">
      <c r="A37" s="57" t="s">
        <v>209</v>
      </c>
      <c r="B37" s="58" t="s">
        <v>19</v>
      </c>
      <c r="C37" s="10" t="s">
        <v>14</v>
      </c>
      <c r="D37" s="58" t="s">
        <v>15</v>
      </c>
      <c r="E37" s="58" t="s">
        <v>16</v>
      </c>
      <c r="F37" s="41" t="s">
        <v>341</v>
      </c>
      <c r="G37" s="9" t="s">
        <v>341</v>
      </c>
      <c r="H37" s="9" t="s">
        <v>341</v>
      </c>
      <c r="I37" s="59">
        <f>I38+I48+I52+I67</f>
        <v>103475141.40000001</v>
      </c>
      <c r="J37" s="59">
        <f t="shared" ref="J37:K37" si="9">J38+J48+J52+J67</f>
        <v>103475141.40000001</v>
      </c>
      <c r="K37" s="59">
        <f t="shared" si="9"/>
        <v>61398775.480000004</v>
      </c>
    </row>
    <row r="38" spans="1:11" ht="62.4">
      <c r="A38" s="57" t="s">
        <v>355</v>
      </c>
      <c r="B38" s="58" t="s">
        <v>19</v>
      </c>
      <c r="C38" s="10" t="s">
        <v>17</v>
      </c>
      <c r="D38" s="58" t="s">
        <v>15</v>
      </c>
      <c r="E38" s="58" t="s">
        <v>16</v>
      </c>
      <c r="F38" s="41" t="s">
        <v>341</v>
      </c>
      <c r="G38" s="9" t="s">
        <v>341</v>
      </c>
      <c r="H38" s="9" t="s">
        <v>341</v>
      </c>
      <c r="I38" s="59">
        <f>SUM(I39:I47)</f>
        <v>51402936.470000014</v>
      </c>
      <c r="J38" s="59">
        <f t="shared" ref="J38:K38" si="10">SUM(J39:J47)</f>
        <v>51402936.469999999</v>
      </c>
      <c r="K38" s="59">
        <f t="shared" si="10"/>
        <v>13666463.760000002</v>
      </c>
    </row>
    <row r="39" spans="1:11">
      <c r="A39" s="57" t="s">
        <v>211</v>
      </c>
      <c r="B39" s="58" t="s">
        <v>19</v>
      </c>
      <c r="C39" s="10">
        <v>1</v>
      </c>
      <c r="D39" s="58" t="s">
        <v>15</v>
      </c>
      <c r="E39" s="58">
        <v>29100</v>
      </c>
      <c r="F39" s="41">
        <v>240</v>
      </c>
      <c r="G39" s="9">
        <v>4</v>
      </c>
      <c r="H39" s="9">
        <v>9</v>
      </c>
      <c r="I39" s="59">
        <f>'Прил 6'!J197</f>
        <v>2698181.9300000006</v>
      </c>
      <c r="J39" s="59">
        <f>'Прил 6'!K197</f>
        <v>2698181.93</v>
      </c>
      <c r="K39" s="59">
        <f>'Прил 6'!L197</f>
        <v>2302182.39</v>
      </c>
    </row>
    <row r="40" spans="1:11">
      <c r="A40" s="57" t="s">
        <v>211</v>
      </c>
      <c r="B40" s="58" t="s">
        <v>19</v>
      </c>
      <c r="C40" s="10">
        <v>1</v>
      </c>
      <c r="D40" s="58" t="s">
        <v>15</v>
      </c>
      <c r="E40" s="58">
        <v>29100</v>
      </c>
      <c r="F40" s="41">
        <v>410</v>
      </c>
      <c r="G40" s="9">
        <v>4</v>
      </c>
      <c r="H40" s="9">
        <v>9</v>
      </c>
      <c r="I40" s="59">
        <f>'Прил 6'!J198</f>
        <v>37765523.570000008</v>
      </c>
      <c r="J40" s="59">
        <f>'Прил 6'!K198</f>
        <v>37615523.57</v>
      </c>
      <c r="K40" s="59">
        <f>'Прил 6'!L198</f>
        <v>2181122.66</v>
      </c>
    </row>
    <row r="41" spans="1:11" hidden="1">
      <c r="A41" s="57" t="s">
        <v>213</v>
      </c>
      <c r="B41" s="58" t="s">
        <v>19</v>
      </c>
      <c r="C41" s="10">
        <v>1</v>
      </c>
      <c r="D41" s="58" t="s">
        <v>15</v>
      </c>
      <c r="E41" s="58">
        <v>29110</v>
      </c>
      <c r="F41" s="41">
        <v>240</v>
      </c>
      <c r="G41" s="9">
        <v>4</v>
      </c>
      <c r="H41" s="9">
        <v>9</v>
      </c>
      <c r="I41" s="59">
        <f>'Прил 6'!J200</f>
        <v>0</v>
      </c>
      <c r="J41" s="59">
        <f>'Прил 6'!K200</f>
        <v>0</v>
      </c>
      <c r="K41" s="59">
        <f>'Прил 6'!L200</f>
        <v>0</v>
      </c>
    </row>
    <row r="42" spans="1:11" hidden="1">
      <c r="A42" s="57" t="s">
        <v>215</v>
      </c>
      <c r="B42" s="58" t="s">
        <v>19</v>
      </c>
      <c r="C42" s="10">
        <v>1</v>
      </c>
      <c r="D42" s="58" t="s">
        <v>15</v>
      </c>
      <c r="E42" s="58">
        <v>29120</v>
      </c>
      <c r="F42" s="41">
        <v>410</v>
      </c>
      <c r="G42" s="9">
        <v>4</v>
      </c>
      <c r="H42" s="9">
        <v>9</v>
      </c>
      <c r="I42" s="59">
        <f>'Прил 6'!J202</f>
        <v>0</v>
      </c>
      <c r="J42" s="59">
        <f>'Прил 6'!K202</f>
        <v>0</v>
      </c>
      <c r="K42" s="59">
        <f>'Прил 6'!L202</f>
        <v>0</v>
      </c>
    </row>
    <row r="43" spans="1:11" ht="31.2">
      <c r="A43" s="57" t="s">
        <v>217</v>
      </c>
      <c r="B43" s="58" t="s">
        <v>19</v>
      </c>
      <c r="C43" s="10">
        <v>1</v>
      </c>
      <c r="D43" s="58" t="s">
        <v>15</v>
      </c>
      <c r="E43" s="58">
        <v>29130</v>
      </c>
      <c r="F43" s="41">
        <v>240</v>
      </c>
      <c r="G43" s="9">
        <v>4</v>
      </c>
      <c r="H43" s="9">
        <v>9</v>
      </c>
      <c r="I43" s="59">
        <f>'Прил 6'!J204</f>
        <v>24850</v>
      </c>
      <c r="J43" s="59">
        <f>'Прил 6'!K204</f>
        <v>24850</v>
      </c>
      <c r="K43" s="59">
        <f>'Прил 6'!L204</f>
        <v>24850</v>
      </c>
    </row>
    <row r="44" spans="1:11">
      <c r="A44" s="57" t="s">
        <v>413</v>
      </c>
      <c r="B44" s="58" t="s">
        <v>19</v>
      </c>
      <c r="C44" s="10">
        <v>1</v>
      </c>
      <c r="D44" s="58" t="s">
        <v>15</v>
      </c>
      <c r="E44" s="58" t="s">
        <v>412</v>
      </c>
      <c r="F44" s="41">
        <v>240</v>
      </c>
      <c r="G44" s="9">
        <v>4</v>
      </c>
      <c r="H44" s="9">
        <v>9</v>
      </c>
      <c r="I44" s="59">
        <f>'Прил 6'!J206</f>
        <v>1082028.0699999998</v>
      </c>
      <c r="J44" s="59">
        <f>'Прил 6'!K206</f>
        <v>1082028.07</v>
      </c>
      <c r="K44" s="59">
        <f>'Прил 6'!L206</f>
        <v>703308.24</v>
      </c>
    </row>
    <row r="45" spans="1:11">
      <c r="A45" s="57" t="s">
        <v>219</v>
      </c>
      <c r="B45" s="58" t="s">
        <v>19</v>
      </c>
      <c r="C45" s="10">
        <v>1</v>
      </c>
      <c r="D45" s="58" t="s">
        <v>15</v>
      </c>
      <c r="E45" s="58">
        <v>29330</v>
      </c>
      <c r="F45" s="41">
        <v>240</v>
      </c>
      <c r="G45" s="9">
        <v>4</v>
      </c>
      <c r="H45" s="9">
        <v>9</v>
      </c>
      <c r="I45" s="59">
        <f>'Прил 6'!J208</f>
        <v>6994087.9800000004</v>
      </c>
      <c r="J45" s="59">
        <f>'Прил 6'!K208</f>
        <v>7144087.9800000004</v>
      </c>
      <c r="K45" s="59">
        <f>'Прил 6'!L208</f>
        <v>6178451.1299999999</v>
      </c>
    </row>
    <row r="46" spans="1:11" hidden="1">
      <c r="A46" s="11" t="s">
        <v>221</v>
      </c>
      <c r="B46" s="58" t="s">
        <v>19</v>
      </c>
      <c r="C46" s="10">
        <v>1</v>
      </c>
      <c r="D46" s="58" t="s">
        <v>15</v>
      </c>
      <c r="E46" s="58" t="s">
        <v>222</v>
      </c>
      <c r="F46" s="41">
        <v>410</v>
      </c>
      <c r="G46" s="9">
        <v>4</v>
      </c>
      <c r="H46" s="9">
        <v>9</v>
      </c>
      <c r="I46" s="59">
        <f>'Прил 6'!J210</f>
        <v>0</v>
      </c>
      <c r="J46" s="59">
        <f>'Прил 6'!K210</f>
        <v>0</v>
      </c>
      <c r="K46" s="59">
        <f>'Прил 6'!L210</f>
        <v>0</v>
      </c>
    </row>
    <row r="47" spans="1:11">
      <c r="A47" s="57" t="s">
        <v>223</v>
      </c>
      <c r="B47" s="58" t="s">
        <v>19</v>
      </c>
      <c r="C47" s="10">
        <v>1</v>
      </c>
      <c r="D47" s="58" t="s">
        <v>15</v>
      </c>
      <c r="E47" s="58">
        <v>29590</v>
      </c>
      <c r="F47" s="41">
        <v>240</v>
      </c>
      <c r="G47" s="9">
        <v>4</v>
      </c>
      <c r="H47" s="9">
        <v>9</v>
      </c>
      <c r="I47" s="59">
        <f>'Прил 6'!J212</f>
        <v>2838264.92</v>
      </c>
      <c r="J47" s="59">
        <f>'Прил 6'!K212</f>
        <v>2838264.92</v>
      </c>
      <c r="K47" s="59">
        <f>'Прил 6'!L212</f>
        <v>2276549.34</v>
      </c>
    </row>
    <row r="48" spans="1:11" ht="31.2">
      <c r="A48" s="57" t="s">
        <v>356</v>
      </c>
      <c r="B48" s="58" t="s">
        <v>19</v>
      </c>
      <c r="C48" s="10">
        <v>2</v>
      </c>
      <c r="D48" s="58" t="s">
        <v>15</v>
      </c>
      <c r="E48" s="58" t="s">
        <v>16</v>
      </c>
      <c r="F48" s="41"/>
      <c r="G48" s="9"/>
      <c r="H48" s="9"/>
      <c r="I48" s="59">
        <f>SUM(I49:I51)</f>
        <v>8550000</v>
      </c>
      <c r="J48" s="59">
        <f t="shared" ref="J48:K48" si="11">SUM(J49:J51)</f>
        <v>8362269.1600000001</v>
      </c>
      <c r="K48" s="59">
        <f t="shared" si="11"/>
        <v>8122115.7199999997</v>
      </c>
    </row>
    <row r="49" spans="1:11" hidden="1">
      <c r="A49" s="11" t="s">
        <v>247</v>
      </c>
      <c r="B49" s="58" t="s">
        <v>19</v>
      </c>
      <c r="C49" s="10">
        <v>2</v>
      </c>
      <c r="D49" s="58" t="s">
        <v>15</v>
      </c>
      <c r="E49" s="58" t="s">
        <v>238</v>
      </c>
      <c r="F49" s="41">
        <v>410</v>
      </c>
      <c r="G49" s="9">
        <v>5</v>
      </c>
      <c r="H49" s="9">
        <v>3</v>
      </c>
      <c r="I49" s="59">
        <f>'Прил 6'!J256</f>
        <v>0</v>
      </c>
      <c r="J49" s="59">
        <f>'Прил 6'!K256</f>
        <v>0</v>
      </c>
      <c r="K49" s="59">
        <f>'Прил 6'!L256</f>
        <v>0</v>
      </c>
    </row>
    <row r="50" spans="1:11">
      <c r="A50" s="57" t="s">
        <v>248</v>
      </c>
      <c r="B50" s="58" t="s">
        <v>19</v>
      </c>
      <c r="C50" s="58" t="s">
        <v>20</v>
      </c>
      <c r="D50" s="58" t="s">
        <v>15</v>
      </c>
      <c r="E50" s="58" t="s">
        <v>249</v>
      </c>
      <c r="F50" s="58" t="s">
        <v>23</v>
      </c>
      <c r="G50" s="58" t="s">
        <v>32</v>
      </c>
      <c r="H50" s="58" t="s">
        <v>19</v>
      </c>
      <c r="I50" s="59">
        <f>'Прил 6'!J258</f>
        <v>6650000</v>
      </c>
      <c r="J50" s="59">
        <f>'Прил 6'!K258</f>
        <v>6462269.1600000001</v>
      </c>
      <c r="K50" s="59">
        <f>'Прил 6'!L258</f>
        <v>6222115.7199999997</v>
      </c>
    </row>
    <row r="51" spans="1:11">
      <c r="A51" s="57" t="s">
        <v>250</v>
      </c>
      <c r="B51" s="58" t="s">
        <v>19</v>
      </c>
      <c r="C51" s="58" t="s">
        <v>20</v>
      </c>
      <c r="D51" s="58" t="s">
        <v>15</v>
      </c>
      <c r="E51" s="58" t="s">
        <v>251</v>
      </c>
      <c r="F51" s="58" t="s">
        <v>23</v>
      </c>
      <c r="G51" s="58" t="s">
        <v>32</v>
      </c>
      <c r="H51" s="58" t="s">
        <v>19</v>
      </c>
      <c r="I51" s="59">
        <f>'Прил 6'!J259</f>
        <v>1900000</v>
      </c>
      <c r="J51" s="59">
        <f>'Прил 6'!K259</f>
        <v>1900000</v>
      </c>
      <c r="K51" s="59">
        <f>'Прил 6'!L259</f>
        <v>1900000</v>
      </c>
    </row>
    <row r="52" spans="1:11" ht="46.8">
      <c r="A52" s="57" t="s">
        <v>357</v>
      </c>
      <c r="B52" s="58" t="s">
        <v>19</v>
      </c>
      <c r="C52" s="10">
        <v>3</v>
      </c>
      <c r="D52" s="58" t="s">
        <v>15</v>
      </c>
      <c r="E52" s="58" t="s">
        <v>16</v>
      </c>
      <c r="F52" s="41"/>
      <c r="G52" s="9"/>
      <c r="H52" s="9"/>
      <c r="I52" s="59">
        <f>SUM(I53:I66)</f>
        <v>24650468.959999997</v>
      </c>
      <c r="J52" s="59">
        <f t="shared" ref="J52" si="12">SUM(J53:J66)</f>
        <v>24838199.800000004</v>
      </c>
      <c r="K52" s="59">
        <f>SUM(K53:K66)</f>
        <v>22324286.66</v>
      </c>
    </row>
    <row r="53" spans="1:11">
      <c r="A53" s="57" t="s">
        <v>253</v>
      </c>
      <c r="B53" s="58" t="s">
        <v>19</v>
      </c>
      <c r="C53" s="58" t="s">
        <v>21</v>
      </c>
      <c r="D53" s="58" t="s">
        <v>15</v>
      </c>
      <c r="E53" s="58" t="s">
        <v>254</v>
      </c>
      <c r="F53" s="58" t="s">
        <v>23</v>
      </c>
      <c r="G53" s="58" t="s">
        <v>32</v>
      </c>
      <c r="H53" s="58" t="s">
        <v>19</v>
      </c>
      <c r="I53" s="59">
        <f>'Прил 6'!J263</f>
        <v>356000</v>
      </c>
      <c r="J53" s="59">
        <f>'Прил 6'!K263</f>
        <v>356000</v>
      </c>
      <c r="K53" s="59">
        <f>'Прил 6'!L263</f>
        <v>356000</v>
      </c>
    </row>
    <row r="54" spans="1:11" hidden="1">
      <c r="A54" s="57" t="s">
        <v>39</v>
      </c>
      <c r="B54" s="58" t="s">
        <v>19</v>
      </c>
      <c r="C54" s="58" t="s">
        <v>21</v>
      </c>
      <c r="D54" s="58" t="s">
        <v>15</v>
      </c>
      <c r="E54" s="58" t="s">
        <v>254</v>
      </c>
      <c r="F54" s="58" t="s">
        <v>40</v>
      </c>
      <c r="G54" s="58" t="s">
        <v>32</v>
      </c>
      <c r="H54" s="58" t="s">
        <v>19</v>
      </c>
      <c r="I54" s="59">
        <f>'Прил 6'!J264</f>
        <v>0</v>
      </c>
      <c r="J54" s="59">
        <f>'Прил 6'!K264</f>
        <v>0</v>
      </c>
      <c r="K54" s="59">
        <f>'Прил 6'!L264</f>
        <v>0</v>
      </c>
    </row>
    <row r="55" spans="1:11">
      <c r="A55" s="57" t="s">
        <v>255</v>
      </c>
      <c r="B55" s="58" t="s">
        <v>19</v>
      </c>
      <c r="C55" s="58" t="s">
        <v>21</v>
      </c>
      <c r="D55" s="58" t="s">
        <v>15</v>
      </c>
      <c r="E55" s="58" t="s">
        <v>256</v>
      </c>
      <c r="F55" s="58" t="s">
        <v>23</v>
      </c>
      <c r="G55" s="58" t="s">
        <v>32</v>
      </c>
      <c r="H55" s="58" t="s">
        <v>19</v>
      </c>
      <c r="I55" s="59">
        <f>'Прил 6'!J266</f>
        <v>444722.22</v>
      </c>
      <c r="J55" s="59">
        <f>'Прил 6'!K266</f>
        <v>444722.22</v>
      </c>
      <c r="K55" s="59">
        <f>'Прил 6'!L266</f>
        <v>444722.22</v>
      </c>
    </row>
    <row r="56" spans="1:11">
      <c r="A56" s="57" t="s">
        <v>257</v>
      </c>
      <c r="B56" s="58" t="s">
        <v>19</v>
      </c>
      <c r="C56" s="58" t="s">
        <v>21</v>
      </c>
      <c r="D56" s="58" t="s">
        <v>15</v>
      </c>
      <c r="E56" s="58" t="s">
        <v>358</v>
      </c>
      <c r="F56" s="58" t="s">
        <v>23</v>
      </c>
      <c r="G56" s="58" t="s">
        <v>32</v>
      </c>
      <c r="H56" s="58" t="s">
        <v>19</v>
      </c>
      <c r="I56" s="59">
        <f>'Прил 6'!J268</f>
        <v>1418117.81</v>
      </c>
      <c r="J56" s="59">
        <f>'Прил 6'!K268</f>
        <v>1418117.81</v>
      </c>
      <c r="K56" s="59">
        <f>'Прил 6'!L268</f>
        <v>1342970.77</v>
      </c>
    </row>
    <row r="57" spans="1:11">
      <c r="A57" s="57" t="s">
        <v>258</v>
      </c>
      <c r="B57" s="58" t="s">
        <v>19</v>
      </c>
      <c r="C57" s="58" t="s">
        <v>21</v>
      </c>
      <c r="D57" s="58" t="s">
        <v>15</v>
      </c>
      <c r="E57" s="58" t="s">
        <v>259</v>
      </c>
      <c r="F57" s="58" t="s">
        <v>23</v>
      </c>
      <c r="G57" s="58" t="s">
        <v>32</v>
      </c>
      <c r="H57" s="58" t="s">
        <v>19</v>
      </c>
      <c r="I57" s="59">
        <f>'Прил 6'!J270</f>
        <v>11379724.359999996</v>
      </c>
      <c r="J57" s="59">
        <f>'Прил 6'!K270</f>
        <v>11169456.119999999</v>
      </c>
      <c r="K57" s="59">
        <f>'Прил 6'!L270</f>
        <v>10585053.59</v>
      </c>
    </row>
    <row r="58" spans="1:11">
      <c r="A58" s="57" t="s">
        <v>258</v>
      </c>
      <c r="B58" s="58" t="s">
        <v>19</v>
      </c>
      <c r="C58" s="58" t="s">
        <v>21</v>
      </c>
      <c r="D58" s="58" t="s">
        <v>15</v>
      </c>
      <c r="E58" s="58" t="s">
        <v>259</v>
      </c>
      <c r="F58" s="58" t="s">
        <v>40</v>
      </c>
      <c r="G58" s="58" t="s">
        <v>32</v>
      </c>
      <c r="H58" s="58" t="s">
        <v>19</v>
      </c>
      <c r="I58" s="59">
        <f>'Прил 6'!J271</f>
        <v>500000</v>
      </c>
      <c r="J58" s="59">
        <f>'Прил 6'!K271</f>
        <v>500000</v>
      </c>
      <c r="K58" s="59">
        <f>'Прил 6'!L271</f>
        <v>500000</v>
      </c>
    </row>
    <row r="59" spans="1:11" hidden="1">
      <c r="A59" s="57" t="s">
        <v>260</v>
      </c>
      <c r="B59" s="58" t="s">
        <v>19</v>
      </c>
      <c r="C59" s="58" t="s">
        <v>21</v>
      </c>
      <c r="D59" s="58" t="s">
        <v>15</v>
      </c>
      <c r="E59" s="58" t="s">
        <v>359</v>
      </c>
      <c r="F59" s="58" t="s">
        <v>23</v>
      </c>
      <c r="G59" s="58" t="s">
        <v>32</v>
      </c>
      <c r="H59" s="58" t="s">
        <v>19</v>
      </c>
      <c r="I59" s="59">
        <f>'Прил 6'!J273</f>
        <v>0</v>
      </c>
      <c r="J59" s="59">
        <f>'Прил 6'!K273</f>
        <v>0</v>
      </c>
      <c r="K59" s="59">
        <f>'Прил 6'!L273</f>
        <v>0</v>
      </c>
    </row>
    <row r="60" spans="1:11" hidden="1">
      <c r="A60" s="57" t="s">
        <v>261</v>
      </c>
      <c r="B60" s="58" t="s">
        <v>19</v>
      </c>
      <c r="C60" s="58" t="s">
        <v>21</v>
      </c>
      <c r="D60" s="58" t="s">
        <v>15</v>
      </c>
      <c r="E60" s="58" t="s">
        <v>360</v>
      </c>
      <c r="F60" s="58" t="s">
        <v>23</v>
      </c>
      <c r="G60" s="58" t="s">
        <v>32</v>
      </c>
      <c r="H60" s="58" t="s">
        <v>19</v>
      </c>
      <c r="I60" s="59">
        <f>'Прил 6'!J275</f>
        <v>0</v>
      </c>
      <c r="J60" s="59">
        <f>'Прил 6'!K275</f>
        <v>0</v>
      </c>
      <c r="K60" s="59">
        <f>'Прил 6'!L275</f>
        <v>0</v>
      </c>
    </row>
    <row r="61" spans="1:11">
      <c r="A61" s="57" t="s">
        <v>262</v>
      </c>
      <c r="B61" s="58" t="s">
        <v>19</v>
      </c>
      <c r="C61" s="58" t="s">
        <v>21</v>
      </c>
      <c r="D61" s="58" t="s">
        <v>15</v>
      </c>
      <c r="E61" s="58" t="s">
        <v>263</v>
      </c>
      <c r="F61" s="58" t="s">
        <v>23</v>
      </c>
      <c r="G61" s="58" t="s">
        <v>32</v>
      </c>
      <c r="H61" s="58" t="s">
        <v>19</v>
      </c>
      <c r="I61" s="59">
        <f>'Прил 6'!J277</f>
        <v>5927804.669999999</v>
      </c>
      <c r="J61" s="59">
        <f>'Прил 6'!K277</f>
        <v>5927804.6699999999</v>
      </c>
      <c r="K61" s="59">
        <f>'Прил 6'!L277</f>
        <v>5927804.6699999999</v>
      </c>
    </row>
    <row r="62" spans="1:11" ht="31.2">
      <c r="A62" s="57" t="s">
        <v>264</v>
      </c>
      <c r="B62" s="58" t="s">
        <v>19</v>
      </c>
      <c r="C62" s="58" t="s">
        <v>21</v>
      </c>
      <c r="D62" s="58" t="s">
        <v>15</v>
      </c>
      <c r="E62" s="58" t="s">
        <v>265</v>
      </c>
      <c r="F62" s="58" t="s">
        <v>23</v>
      </c>
      <c r="G62" s="58" t="s">
        <v>32</v>
      </c>
      <c r="H62" s="58" t="s">
        <v>19</v>
      </c>
      <c r="I62" s="59">
        <f>'Прил 6'!J279</f>
        <v>2718737.44</v>
      </c>
      <c r="J62" s="59">
        <f>'Прил 6'!K279</f>
        <v>2718737.44</v>
      </c>
      <c r="K62" s="59">
        <f>'Прил 6'!L279</f>
        <v>2662372.9500000002</v>
      </c>
    </row>
    <row r="63" spans="1:11" ht="31.2">
      <c r="A63" s="57" t="s">
        <v>266</v>
      </c>
      <c r="B63" s="58" t="s">
        <v>19</v>
      </c>
      <c r="C63" s="58" t="s">
        <v>21</v>
      </c>
      <c r="D63" s="58" t="s">
        <v>15</v>
      </c>
      <c r="E63" s="58" t="s">
        <v>267</v>
      </c>
      <c r="F63" s="58" t="s">
        <v>23</v>
      </c>
      <c r="G63" s="58" t="s">
        <v>32</v>
      </c>
      <c r="H63" s="58" t="s">
        <v>19</v>
      </c>
      <c r="I63" s="59">
        <f>'Прил 6'!J281</f>
        <v>1400000</v>
      </c>
      <c r="J63" s="59">
        <f>'Прил 6'!K281</f>
        <v>1797999.08</v>
      </c>
      <c r="K63" s="59">
        <f>'Прил 6'!L281</f>
        <v>0</v>
      </c>
    </row>
    <row r="64" spans="1:11" hidden="1">
      <c r="A64" s="57" t="s">
        <v>268</v>
      </c>
      <c r="B64" s="58" t="s">
        <v>19</v>
      </c>
      <c r="C64" s="58" t="s">
        <v>21</v>
      </c>
      <c r="D64" s="58" t="s">
        <v>15</v>
      </c>
      <c r="E64" s="58" t="s">
        <v>269</v>
      </c>
      <c r="F64" s="58" t="s">
        <v>23</v>
      </c>
      <c r="G64" s="58" t="s">
        <v>32</v>
      </c>
      <c r="H64" s="58" t="s">
        <v>19</v>
      </c>
      <c r="I64" s="59">
        <f>'Прил 6'!J283</f>
        <v>0</v>
      </c>
      <c r="J64" s="59">
        <f>'Прил 6'!K283</f>
        <v>0</v>
      </c>
      <c r="K64" s="59">
        <f>'Прил 6'!L283</f>
        <v>0</v>
      </c>
    </row>
    <row r="65" spans="1:11">
      <c r="A65" s="57" t="s">
        <v>270</v>
      </c>
      <c r="B65" s="58" t="s">
        <v>19</v>
      </c>
      <c r="C65" s="58" t="s">
        <v>21</v>
      </c>
      <c r="D65" s="58" t="s">
        <v>15</v>
      </c>
      <c r="E65" s="58" t="s">
        <v>271</v>
      </c>
      <c r="F65" s="58" t="s">
        <v>23</v>
      </c>
      <c r="G65" s="58" t="s">
        <v>32</v>
      </c>
      <c r="H65" s="58" t="s">
        <v>19</v>
      </c>
      <c r="I65" s="59">
        <f>'Прил 6'!J285</f>
        <v>505362.45999999996</v>
      </c>
      <c r="J65" s="59">
        <f>'Прил 6'!K285</f>
        <v>505362.46</v>
      </c>
      <c r="K65" s="59">
        <f>'Прил 6'!L285</f>
        <v>505362.46</v>
      </c>
    </row>
    <row r="66" spans="1:11" ht="46.8" hidden="1">
      <c r="A66" s="57" t="s">
        <v>272</v>
      </c>
      <c r="B66" s="58" t="s">
        <v>19</v>
      </c>
      <c r="C66" s="58" t="s">
        <v>21</v>
      </c>
      <c r="D66" s="58" t="s">
        <v>15</v>
      </c>
      <c r="E66" s="58" t="s">
        <v>273</v>
      </c>
      <c r="F66" s="58" t="s">
        <v>23</v>
      </c>
      <c r="G66" s="58" t="s">
        <v>32</v>
      </c>
      <c r="H66" s="58" t="s">
        <v>19</v>
      </c>
      <c r="I66" s="59">
        <f>'Прил 6'!J287</f>
        <v>0</v>
      </c>
      <c r="J66" s="59">
        <f>'Прил 6'!K287</f>
        <v>0</v>
      </c>
      <c r="K66" s="59">
        <f>'Прил 6'!L287</f>
        <v>0</v>
      </c>
    </row>
    <row r="67" spans="1:11">
      <c r="A67" s="57" t="s">
        <v>361</v>
      </c>
      <c r="B67" s="58" t="s">
        <v>19</v>
      </c>
      <c r="C67" s="10">
        <v>4</v>
      </c>
      <c r="D67" s="58" t="s">
        <v>15</v>
      </c>
      <c r="E67" s="58" t="s">
        <v>16</v>
      </c>
      <c r="F67" s="41"/>
      <c r="G67" s="9"/>
      <c r="H67" s="9"/>
      <c r="I67" s="59">
        <f>SUM(I68:I70)</f>
        <v>18871735.969999999</v>
      </c>
      <c r="J67" s="59">
        <f t="shared" ref="J67:K67" si="13">SUM(J68:J70)</f>
        <v>18871735.969999999</v>
      </c>
      <c r="K67" s="59">
        <f t="shared" si="13"/>
        <v>17285909.340000004</v>
      </c>
    </row>
    <row r="68" spans="1:11" ht="31.2">
      <c r="A68" s="57" t="s">
        <v>283</v>
      </c>
      <c r="B68" s="58" t="s">
        <v>19</v>
      </c>
      <c r="C68" s="58" t="s">
        <v>26</v>
      </c>
      <c r="D68" s="58" t="s">
        <v>15</v>
      </c>
      <c r="E68" s="58" t="s">
        <v>284</v>
      </c>
      <c r="F68" s="58" t="s">
        <v>48</v>
      </c>
      <c r="G68" s="58" t="s">
        <v>32</v>
      </c>
      <c r="H68" s="58" t="s">
        <v>32</v>
      </c>
      <c r="I68" s="59">
        <f>'Прил 6'!J307</f>
        <v>15508793.15</v>
      </c>
      <c r="J68" s="59">
        <f>'Прил 6'!K307</f>
        <v>15508793.15</v>
      </c>
      <c r="K68" s="59">
        <f>'Прил 6'!L307</f>
        <v>14313306.100000001</v>
      </c>
    </row>
    <row r="69" spans="1:11" ht="31.2">
      <c r="A69" s="57" t="s">
        <v>283</v>
      </c>
      <c r="B69" s="58" t="s">
        <v>19</v>
      </c>
      <c r="C69" s="58" t="s">
        <v>26</v>
      </c>
      <c r="D69" s="58" t="s">
        <v>15</v>
      </c>
      <c r="E69" s="58" t="s">
        <v>284</v>
      </c>
      <c r="F69" s="58" t="s">
        <v>23</v>
      </c>
      <c r="G69" s="58" t="s">
        <v>32</v>
      </c>
      <c r="H69" s="58" t="s">
        <v>32</v>
      </c>
      <c r="I69" s="59">
        <f>'Прил 6'!J308</f>
        <v>3315942.82</v>
      </c>
      <c r="J69" s="59">
        <f>'Прил 6'!K308</f>
        <v>3315942.82</v>
      </c>
      <c r="K69" s="59">
        <f>'Прил 6'!L308</f>
        <v>2930911.24</v>
      </c>
    </row>
    <row r="70" spans="1:11" ht="31.2">
      <c r="A70" s="57" t="s">
        <v>283</v>
      </c>
      <c r="B70" s="58" t="s">
        <v>19</v>
      </c>
      <c r="C70" s="58" t="s">
        <v>26</v>
      </c>
      <c r="D70" s="58" t="s">
        <v>15</v>
      </c>
      <c r="E70" s="58" t="s">
        <v>284</v>
      </c>
      <c r="F70" s="58" t="s">
        <v>25</v>
      </c>
      <c r="G70" s="58" t="s">
        <v>32</v>
      </c>
      <c r="H70" s="58" t="s">
        <v>32</v>
      </c>
      <c r="I70" s="59">
        <f>'Прил 6'!J309</f>
        <v>47000</v>
      </c>
      <c r="J70" s="59">
        <f>'Прил 6'!K309</f>
        <v>47000</v>
      </c>
      <c r="K70" s="59">
        <f>'Прил 6'!L309</f>
        <v>41692</v>
      </c>
    </row>
    <row r="71" spans="1:11" ht="62.4">
      <c r="A71" s="57" t="s">
        <v>226</v>
      </c>
      <c r="B71" s="58" t="s">
        <v>31</v>
      </c>
      <c r="C71" s="10" t="s">
        <v>14</v>
      </c>
      <c r="D71" s="58" t="s">
        <v>15</v>
      </c>
      <c r="E71" s="58" t="s">
        <v>16</v>
      </c>
      <c r="F71" s="41" t="s">
        <v>341</v>
      </c>
      <c r="G71" s="9" t="s">
        <v>341</v>
      </c>
      <c r="H71" s="9" t="s">
        <v>341</v>
      </c>
      <c r="I71" s="59">
        <f>SUM(I72:I73)</f>
        <v>30000</v>
      </c>
      <c r="J71" s="59">
        <f t="shared" ref="J71:K71" si="14">SUM(J72:J73)</f>
        <v>30000</v>
      </c>
      <c r="K71" s="59">
        <f t="shared" si="14"/>
        <v>30000</v>
      </c>
    </row>
    <row r="72" spans="1:11" ht="93.6" hidden="1">
      <c r="A72" s="11" t="s">
        <v>227</v>
      </c>
      <c r="B72" s="58" t="s">
        <v>31</v>
      </c>
      <c r="C72" s="10">
        <v>0</v>
      </c>
      <c r="D72" s="58" t="s">
        <v>15</v>
      </c>
      <c r="E72" s="58">
        <v>29480</v>
      </c>
      <c r="F72" s="41">
        <v>810</v>
      </c>
      <c r="G72" s="9">
        <v>4</v>
      </c>
      <c r="H72" s="9">
        <v>12</v>
      </c>
      <c r="I72" s="59">
        <f>'Прил 6'!J221</f>
        <v>0</v>
      </c>
      <c r="J72" s="59">
        <f>'Прил 6'!K221</f>
        <v>0</v>
      </c>
      <c r="K72" s="59">
        <f>'Прил 6'!L221</f>
        <v>0</v>
      </c>
    </row>
    <row r="73" spans="1:11">
      <c r="A73" s="57" t="s">
        <v>230</v>
      </c>
      <c r="B73" s="58" t="s">
        <v>31</v>
      </c>
      <c r="C73" s="10">
        <v>0</v>
      </c>
      <c r="D73" s="58" t="s">
        <v>15</v>
      </c>
      <c r="E73" s="58">
        <v>29910</v>
      </c>
      <c r="F73" s="41">
        <v>810</v>
      </c>
      <c r="G73" s="9">
        <v>4</v>
      </c>
      <c r="H73" s="9">
        <v>12</v>
      </c>
      <c r="I73" s="59">
        <f>'Прил 6'!J223</f>
        <v>30000</v>
      </c>
      <c r="J73" s="59">
        <f>'Прил 6'!K223</f>
        <v>30000</v>
      </c>
      <c r="K73" s="59">
        <f>'Прил 6'!L223</f>
        <v>30000</v>
      </c>
    </row>
    <row r="74" spans="1:11" ht="46.8">
      <c r="A74" s="57" t="s">
        <v>232</v>
      </c>
      <c r="B74" s="58" t="s">
        <v>32</v>
      </c>
      <c r="C74" s="10" t="s">
        <v>14</v>
      </c>
      <c r="D74" s="58" t="s">
        <v>15</v>
      </c>
      <c r="E74" s="58" t="s">
        <v>16</v>
      </c>
      <c r="F74" s="41" t="s">
        <v>341</v>
      </c>
      <c r="G74" s="9" t="s">
        <v>341</v>
      </c>
      <c r="H74" s="9" t="s">
        <v>341</v>
      </c>
      <c r="I74" s="59">
        <f>I75+I77+I80+I83</f>
        <v>12021036.75</v>
      </c>
      <c r="J74" s="59">
        <f t="shared" ref="J74:K74" si="15">J75+J77+J80+J83</f>
        <v>12021036.75</v>
      </c>
      <c r="K74" s="59">
        <f t="shared" si="15"/>
        <v>11994497.529999999</v>
      </c>
    </row>
    <row r="75" spans="1:11" ht="31.2">
      <c r="A75" s="57" t="s">
        <v>362</v>
      </c>
      <c r="B75" s="58" t="s">
        <v>32</v>
      </c>
      <c r="C75" s="10" t="s">
        <v>17</v>
      </c>
      <c r="D75" s="58" t="s">
        <v>15</v>
      </c>
      <c r="E75" s="58" t="s">
        <v>16</v>
      </c>
      <c r="F75" s="41" t="s">
        <v>341</v>
      </c>
      <c r="G75" s="9" t="s">
        <v>341</v>
      </c>
      <c r="H75" s="9" t="s">
        <v>341</v>
      </c>
      <c r="I75" s="59">
        <f>I76</f>
        <v>30000</v>
      </c>
      <c r="J75" s="59">
        <f t="shared" ref="J75:K75" si="16">J76</f>
        <v>30000</v>
      </c>
      <c r="K75" s="59">
        <f t="shared" si="16"/>
        <v>22460.78</v>
      </c>
    </row>
    <row r="76" spans="1:11">
      <c r="A76" s="57" t="s">
        <v>234</v>
      </c>
      <c r="B76" s="58" t="s">
        <v>32</v>
      </c>
      <c r="C76" s="10">
        <v>1</v>
      </c>
      <c r="D76" s="58" t="s">
        <v>15</v>
      </c>
      <c r="E76" s="58">
        <v>29420</v>
      </c>
      <c r="F76" s="41">
        <v>240</v>
      </c>
      <c r="G76" s="9">
        <v>5</v>
      </c>
      <c r="H76" s="9">
        <v>1</v>
      </c>
      <c r="I76" s="59">
        <f>'Прил 6'!J229</f>
        <v>30000</v>
      </c>
      <c r="J76" s="59">
        <f>'Прил 6'!K229</f>
        <v>30000</v>
      </c>
      <c r="K76" s="59">
        <f>'Прил 6'!L229</f>
        <v>22460.78</v>
      </c>
    </row>
    <row r="77" spans="1:11">
      <c r="A77" s="22" t="s">
        <v>384</v>
      </c>
      <c r="B77" s="58" t="s">
        <v>32</v>
      </c>
      <c r="C77" s="10">
        <v>4</v>
      </c>
      <c r="D77" s="58" t="s">
        <v>15</v>
      </c>
      <c r="E77" s="58" t="s">
        <v>16</v>
      </c>
      <c r="F77" s="41"/>
      <c r="G77" s="9"/>
      <c r="H77" s="9"/>
      <c r="I77" s="59">
        <f>SUM(I78:I79)</f>
        <v>641036.75</v>
      </c>
      <c r="J77" s="59">
        <f t="shared" ref="J77:K77" si="17">SUM(J78:J79)</f>
        <v>641036.75</v>
      </c>
      <c r="K77" s="59">
        <f t="shared" si="17"/>
        <v>641036.75</v>
      </c>
    </row>
    <row r="78" spans="1:11" hidden="1">
      <c r="A78" s="21" t="s">
        <v>391</v>
      </c>
      <c r="B78" s="58" t="s">
        <v>32</v>
      </c>
      <c r="C78" s="10">
        <v>4</v>
      </c>
      <c r="D78" s="58" t="s">
        <v>15</v>
      </c>
      <c r="E78" s="58" t="s">
        <v>390</v>
      </c>
      <c r="F78" s="41">
        <v>410</v>
      </c>
      <c r="G78" s="9">
        <v>5</v>
      </c>
      <c r="H78" s="9">
        <v>2</v>
      </c>
      <c r="I78" s="59">
        <f>'Прил 6'!J246</f>
        <v>0</v>
      </c>
      <c r="J78" s="59">
        <f>'Прил 6'!K246</f>
        <v>0</v>
      </c>
      <c r="K78" s="59">
        <f>'Прил 6'!L246</f>
        <v>0</v>
      </c>
    </row>
    <row r="79" spans="1:11">
      <c r="A79" s="21" t="s">
        <v>391</v>
      </c>
      <c r="B79" s="58" t="s">
        <v>32</v>
      </c>
      <c r="C79" s="10">
        <v>4</v>
      </c>
      <c r="D79" s="58" t="s">
        <v>15</v>
      </c>
      <c r="E79" s="58" t="s">
        <v>390</v>
      </c>
      <c r="F79" s="41">
        <v>240</v>
      </c>
      <c r="G79" s="9">
        <v>5</v>
      </c>
      <c r="H79" s="9">
        <v>2</v>
      </c>
      <c r="I79" s="59">
        <f>'Прил 6'!J247</f>
        <v>641036.75</v>
      </c>
      <c r="J79" s="59">
        <f>'Прил 6'!K247</f>
        <v>641036.75</v>
      </c>
      <c r="K79" s="59">
        <f>'Прил 6'!L247</f>
        <v>641036.75</v>
      </c>
    </row>
    <row r="80" spans="1:11" ht="31.2" hidden="1">
      <c r="A80" s="57" t="s">
        <v>363</v>
      </c>
      <c r="B80" s="58" t="s">
        <v>32</v>
      </c>
      <c r="C80" s="10">
        <v>5</v>
      </c>
      <c r="D80" s="58" t="s">
        <v>15</v>
      </c>
      <c r="E80" s="58" t="s">
        <v>16</v>
      </c>
      <c r="F80" s="41"/>
      <c r="G80" s="9"/>
      <c r="H80" s="9"/>
      <c r="I80" s="59">
        <f>SUM(I81:I82)</f>
        <v>0</v>
      </c>
      <c r="J80" s="59">
        <f t="shared" ref="J80:K80" si="18">SUM(J81:J82)</f>
        <v>0</v>
      </c>
      <c r="K80" s="59">
        <f t="shared" si="18"/>
        <v>0</v>
      </c>
    </row>
    <row r="81" spans="1:11" hidden="1">
      <c r="A81" s="57" t="s">
        <v>237</v>
      </c>
      <c r="B81" s="58" t="s">
        <v>32</v>
      </c>
      <c r="C81" s="10">
        <v>5</v>
      </c>
      <c r="D81" s="58" t="s">
        <v>15</v>
      </c>
      <c r="E81" s="58" t="s">
        <v>239</v>
      </c>
      <c r="F81" s="41">
        <v>240</v>
      </c>
      <c r="G81" s="9">
        <v>5</v>
      </c>
      <c r="H81" s="9">
        <v>1</v>
      </c>
      <c r="I81" s="59">
        <f>'Прил 6'!J232</f>
        <v>0</v>
      </c>
      <c r="J81" s="59">
        <f>'Прил 6'!K232</f>
        <v>0</v>
      </c>
      <c r="K81" s="59">
        <f>'Прил 6'!L232</f>
        <v>0</v>
      </c>
    </row>
    <row r="82" spans="1:11" ht="31.2" hidden="1">
      <c r="A82" s="57" t="s">
        <v>90</v>
      </c>
      <c r="B82" s="58" t="s">
        <v>32</v>
      </c>
      <c r="C82" s="10">
        <v>5</v>
      </c>
      <c r="D82" s="58" t="s">
        <v>15</v>
      </c>
      <c r="E82" s="58" t="s">
        <v>240</v>
      </c>
      <c r="F82" s="41">
        <v>240</v>
      </c>
      <c r="G82" s="9">
        <v>5</v>
      </c>
      <c r="H82" s="9">
        <v>1</v>
      </c>
      <c r="I82" s="59">
        <f>'Прил 6'!J234</f>
        <v>0</v>
      </c>
      <c r="J82" s="59">
        <f>'Прил 6'!K234</f>
        <v>0</v>
      </c>
      <c r="K82" s="59">
        <f>'Прил 6'!L234</f>
        <v>0</v>
      </c>
    </row>
    <row r="83" spans="1:11" ht="46.8">
      <c r="A83" s="57" t="s">
        <v>364</v>
      </c>
      <c r="B83" s="58" t="s">
        <v>32</v>
      </c>
      <c r="C83" s="10">
        <v>6</v>
      </c>
      <c r="D83" s="58" t="s">
        <v>15</v>
      </c>
      <c r="E83" s="58" t="s">
        <v>16</v>
      </c>
      <c r="F83" s="41"/>
      <c r="G83" s="9"/>
      <c r="H83" s="9"/>
      <c r="I83" s="59">
        <f>I84</f>
        <v>11350000</v>
      </c>
      <c r="J83" s="59">
        <f t="shared" ref="J83:K83" si="19">J84</f>
        <v>11350000</v>
      </c>
      <c r="K83" s="59">
        <f t="shared" si="19"/>
        <v>11331000</v>
      </c>
    </row>
    <row r="84" spans="1:11">
      <c r="A84" s="57" t="s">
        <v>242</v>
      </c>
      <c r="B84" s="58" t="s">
        <v>32</v>
      </c>
      <c r="C84" s="10">
        <v>6</v>
      </c>
      <c r="D84" s="58" t="s">
        <v>15</v>
      </c>
      <c r="E84" s="58">
        <v>29800</v>
      </c>
      <c r="F84" s="41">
        <v>410</v>
      </c>
      <c r="G84" s="9">
        <v>5</v>
      </c>
      <c r="H84" s="9">
        <v>1</v>
      </c>
      <c r="I84" s="59">
        <f>'Прил 6'!J237</f>
        <v>11350000</v>
      </c>
      <c r="J84" s="59">
        <f>'Прил 6'!K237</f>
        <v>11350000</v>
      </c>
      <c r="K84" s="59">
        <f>'Прил 6'!L237</f>
        <v>11331000</v>
      </c>
    </row>
    <row r="85" spans="1:11" ht="46.8">
      <c r="A85" s="57" t="s">
        <v>291</v>
      </c>
      <c r="B85" s="58" t="s">
        <v>34</v>
      </c>
      <c r="C85" s="10" t="s">
        <v>14</v>
      </c>
      <c r="D85" s="58" t="s">
        <v>15</v>
      </c>
      <c r="E85" s="58" t="s">
        <v>16</v>
      </c>
      <c r="F85" s="41" t="s">
        <v>341</v>
      </c>
      <c r="G85" s="9" t="s">
        <v>341</v>
      </c>
      <c r="H85" s="9" t="s">
        <v>341</v>
      </c>
      <c r="I85" s="59">
        <f>I86+I89+I97+I101+I106</f>
        <v>43073481.670000002</v>
      </c>
      <c r="J85" s="59">
        <f>J86+J89+J97+J101+J106</f>
        <v>43073481.670000002</v>
      </c>
      <c r="K85" s="59">
        <f>K86+K89+K97+K101+K106</f>
        <v>33807959.430000007</v>
      </c>
    </row>
    <row r="86" spans="1:11">
      <c r="A86" s="57" t="s">
        <v>365</v>
      </c>
      <c r="B86" s="58" t="s">
        <v>34</v>
      </c>
      <c r="C86" s="10" t="s">
        <v>17</v>
      </c>
      <c r="D86" s="58" t="s">
        <v>15</v>
      </c>
      <c r="E86" s="58" t="s">
        <v>16</v>
      </c>
      <c r="F86" s="41" t="s">
        <v>341</v>
      </c>
      <c r="G86" s="9" t="s">
        <v>341</v>
      </c>
      <c r="H86" s="9" t="s">
        <v>341</v>
      </c>
      <c r="I86" s="59">
        <f>SUM(I87:I88)</f>
        <v>2505719.2000000002</v>
      </c>
      <c r="J86" s="59">
        <f t="shared" ref="J86:K86" si="20">SUM(J87:J88)</f>
        <v>2505719.2000000002</v>
      </c>
      <c r="K86" s="59">
        <f t="shared" si="20"/>
        <v>2505719.2000000002</v>
      </c>
    </row>
    <row r="87" spans="1:11" ht="31.2">
      <c r="A87" s="57" t="s">
        <v>294</v>
      </c>
      <c r="B87" s="58" t="s">
        <v>34</v>
      </c>
      <c r="C87" s="10">
        <v>1</v>
      </c>
      <c r="D87" s="58" t="s">
        <v>15</v>
      </c>
      <c r="E87" s="58" t="s">
        <v>295</v>
      </c>
      <c r="F87" s="41">
        <v>520</v>
      </c>
      <c r="G87" s="9">
        <v>7</v>
      </c>
      <c r="H87" s="9">
        <v>7</v>
      </c>
      <c r="I87" s="59">
        <f>'Прил 6'!J336</f>
        <v>2406775</v>
      </c>
      <c r="J87" s="59">
        <f>'Прил 6'!K336</f>
        <v>2406775</v>
      </c>
      <c r="K87" s="59">
        <f>'Прил 6'!L336</f>
        <v>2406775</v>
      </c>
    </row>
    <row r="88" spans="1:11" ht="31.2">
      <c r="A88" s="57" t="s">
        <v>292</v>
      </c>
      <c r="B88" s="58" t="s">
        <v>34</v>
      </c>
      <c r="C88" s="10">
        <v>1</v>
      </c>
      <c r="D88" s="58" t="s">
        <v>15</v>
      </c>
      <c r="E88" s="58">
        <v>29240</v>
      </c>
      <c r="F88" s="41">
        <v>110</v>
      </c>
      <c r="G88" s="9">
        <v>7</v>
      </c>
      <c r="H88" s="9">
        <v>7</v>
      </c>
      <c r="I88" s="59">
        <f>'Прил 6'!J338</f>
        <v>98944.200000000012</v>
      </c>
      <c r="J88" s="59">
        <f>'Прил 6'!K338</f>
        <v>98944.2</v>
      </c>
      <c r="K88" s="59">
        <f>'Прил 6'!L338</f>
        <v>98944.2</v>
      </c>
    </row>
    <row r="89" spans="1:11">
      <c r="A89" s="57" t="s">
        <v>366</v>
      </c>
      <c r="B89" s="58" t="s">
        <v>34</v>
      </c>
      <c r="C89" s="10">
        <v>2</v>
      </c>
      <c r="D89" s="58" t="s">
        <v>15</v>
      </c>
      <c r="E89" s="58" t="s">
        <v>16</v>
      </c>
      <c r="F89" s="41" t="s">
        <v>341</v>
      </c>
      <c r="G89" s="9" t="s">
        <v>341</v>
      </c>
      <c r="H89" s="9" t="s">
        <v>341</v>
      </c>
      <c r="I89" s="59">
        <f>SUM(I90:I94)+I95</f>
        <v>24572766.329999998</v>
      </c>
      <c r="J89" s="59">
        <f>SUM(J90:J94)+J95</f>
        <v>24572766.329999998</v>
      </c>
      <c r="K89" s="59">
        <f>SUM(K90:K94)+K95</f>
        <v>15907264.4</v>
      </c>
    </row>
    <row r="90" spans="1:11" ht="31.2">
      <c r="A90" s="57" t="s">
        <v>283</v>
      </c>
      <c r="B90" s="58" t="s">
        <v>34</v>
      </c>
      <c r="C90" s="10">
        <v>2</v>
      </c>
      <c r="D90" s="58" t="s">
        <v>15</v>
      </c>
      <c r="E90" s="58" t="s">
        <v>284</v>
      </c>
      <c r="F90" s="41">
        <v>110</v>
      </c>
      <c r="G90" s="9">
        <v>8</v>
      </c>
      <c r="H90" s="9">
        <v>1</v>
      </c>
      <c r="I90" s="59">
        <f>'Прил 6'!J344</f>
        <v>2643203.48</v>
      </c>
      <c r="J90" s="59">
        <f>'Прил 6'!K344</f>
        <v>2143756.2799999998</v>
      </c>
      <c r="K90" s="59">
        <f>'Прил 6'!L344</f>
        <v>1942617.72</v>
      </c>
    </row>
    <row r="91" spans="1:11" ht="31.2">
      <c r="A91" s="57" t="s">
        <v>283</v>
      </c>
      <c r="B91" s="58" t="s">
        <v>34</v>
      </c>
      <c r="C91" s="10">
        <v>2</v>
      </c>
      <c r="D91" s="58" t="s">
        <v>15</v>
      </c>
      <c r="E91" s="58" t="s">
        <v>284</v>
      </c>
      <c r="F91" s="41">
        <v>240</v>
      </c>
      <c r="G91" s="9">
        <v>8</v>
      </c>
      <c r="H91" s="9">
        <v>1</v>
      </c>
      <c r="I91" s="59">
        <f>'Прил 6'!J345</f>
        <v>14942754.310000001</v>
      </c>
      <c r="J91" s="59">
        <f>'Прил 6'!K345</f>
        <v>15442201.509999998</v>
      </c>
      <c r="K91" s="59">
        <f>'Прил 6'!L345</f>
        <v>7401951.1400000006</v>
      </c>
    </row>
    <row r="92" spans="1:11" ht="31.2">
      <c r="A92" s="57" t="s">
        <v>283</v>
      </c>
      <c r="B92" s="58" t="s">
        <v>34</v>
      </c>
      <c r="C92" s="10">
        <v>2</v>
      </c>
      <c r="D92" s="58" t="s">
        <v>15</v>
      </c>
      <c r="E92" s="58" t="s">
        <v>284</v>
      </c>
      <c r="F92" s="41">
        <v>850</v>
      </c>
      <c r="G92" s="9">
        <v>8</v>
      </c>
      <c r="H92" s="9">
        <v>1</v>
      </c>
      <c r="I92" s="59">
        <f>'Прил 6'!J346</f>
        <v>2036.380000000001</v>
      </c>
      <c r="J92" s="59">
        <f>'Прил 6'!K346</f>
        <v>2036.38</v>
      </c>
      <c r="K92" s="59">
        <f>'Прил 6'!L346</f>
        <v>2036.38</v>
      </c>
    </row>
    <row r="93" spans="1:11" ht="31.2">
      <c r="A93" s="57" t="s">
        <v>298</v>
      </c>
      <c r="B93" s="58" t="s">
        <v>34</v>
      </c>
      <c r="C93" s="10">
        <v>2</v>
      </c>
      <c r="D93" s="58" t="s">
        <v>15</v>
      </c>
      <c r="E93" s="58" t="s">
        <v>299</v>
      </c>
      <c r="F93" s="41">
        <v>240</v>
      </c>
      <c r="G93" s="9">
        <v>8</v>
      </c>
      <c r="H93" s="9">
        <v>1</v>
      </c>
      <c r="I93" s="59">
        <f>'Прил 6'!J350</f>
        <v>1687056.33</v>
      </c>
      <c r="J93" s="59">
        <f>'Прил 6'!K350</f>
        <v>1687056.33</v>
      </c>
      <c r="K93" s="59">
        <f>'Прил 6'!L350</f>
        <v>1330149.79</v>
      </c>
    </row>
    <row r="94" spans="1:11" ht="31.2">
      <c r="A94" s="57" t="s">
        <v>300</v>
      </c>
      <c r="B94" s="58" t="s">
        <v>34</v>
      </c>
      <c r="C94" s="10">
        <v>2</v>
      </c>
      <c r="D94" s="58" t="s">
        <v>15</v>
      </c>
      <c r="E94" s="58" t="s">
        <v>301</v>
      </c>
      <c r="F94" s="41">
        <v>240</v>
      </c>
      <c r="G94" s="9">
        <v>8</v>
      </c>
      <c r="H94" s="9">
        <v>1</v>
      </c>
      <c r="I94" s="59">
        <f>'Прил 6'!J348</f>
        <v>297715.83</v>
      </c>
      <c r="J94" s="59">
        <f>'Прил 6'!K348</f>
        <v>297715.83</v>
      </c>
      <c r="K94" s="59">
        <f>'Прил 6'!L348</f>
        <v>230509.37</v>
      </c>
    </row>
    <row r="95" spans="1:11">
      <c r="A95" s="57" t="s">
        <v>397</v>
      </c>
      <c r="B95" s="58" t="s">
        <v>34</v>
      </c>
      <c r="C95" s="10">
        <v>2</v>
      </c>
      <c r="D95" s="58" t="s">
        <v>396</v>
      </c>
      <c r="E95" s="58" t="s">
        <v>16</v>
      </c>
      <c r="F95" s="41">
        <v>0</v>
      </c>
      <c r="G95" s="9"/>
      <c r="H95" s="9"/>
      <c r="I95" s="59">
        <f>I96</f>
        <v>5000000</v>
      </c>
      <c r="J95" s="59">
        <f t="shared" ref="J95:K95" si="21">J96</f>
        <v>5000000</v>
      </c>
      <c r="K95" s="59">
        <f t="shared" si="21"/>
        <v>5000000</v>
      </c>
    </row>
    <row r="96" spans="1:11">
      <c r="A96" s="57" t="s">
        <v>398</v>
      </c>
      <c r="B96" s="58" t="s">
        <v>34</v>
      </c>
      <c r="C96" s="10">
        <v>2</v>
      </c>
      <c r="D96" s="58" t="s">
        <v>396</v>
      </c>
      <c r="E96" s="58" t="s">
        <v>393</v>
      </c>
      <c r="F96" s="41">
        <v>240</v>
      </c>
      <c r="G96" s="9">
        <v>8</v>
      </c>
      <c r="H96" s="9">
        <v>1</v>
      </c>
      <c r="I96" s="59">
        <f>'Прил 6'!J353</f>
        <v>5000000</v>
      </c>
      <c r="J96" s="59">
        <f>'Прил 6'!K353</f>
        <v>5000000</v>
      </c>
      <c r="K96" s="59">
        <f>'Прил 6'!L353</f>
        <v>5000000</v>
      </c>
    </row>
    <row r="97" spans="1:11">
      <c r="A97" s="57" t="s">
        <v>367</v>
      </c>
      <c r="B97" s="58" t="s">
        <v>34</v>
      </c>
      <c r="C97" s="10">
        <v>3</v>
      </c>
      <c r="D97" s="58" t="s">
        <v>15</v>
      </c>
      <c r="E97" s="58" t="s">
        <v>16</v>
      </c>
      <c r="F97" s="41" t="s">
        <v>341</v>
      </c>
      <c r="G97" s="9" t="s">
        <v>341</v>
      </c>
      <c r="H97" s="9" t="s">
        <v>341</v>
      </c>
      <c r="I97" s="59">
        <f>SUM(I98:I100)</f>
        <v>408221.66000000003</v>
      </c>
      <c r="J97" s="59">
        <f t="shared" ref="J97:K97" si="22">SUM(J98:J100)</f>
        <v>408221.66000000003</v>
      </c>
      <c r="K97" s="59">
        <f t="shared" si="22"/>
        <v>408221.66000000003</v>
      </c>
    </row>
    <row r="98" spans="1:11">
      <c r="A98" s="57" t="s">
        <v>39</v>
      </c>
      <c r="B98" s="58" t="s">
        <v>34</v>
      </c>
      <c r="C98" s="10">
        <v>3</v>
      </c>
      <c r="D98" s="58" t="s">
        <v>15</v>
      </c>
      <c r="E98" s="58">
        <v>29020</v>
      </c>
      <c r="F98" s="41">
        <v>350</v>
      </c>
      <c r="G98" s="9">
        <v>8</v>
      </c>
      <c r="H98" s="9">
        <v>4</v>
      </c>
      <c r="I98" s="59">
        <f>'Прил 6'!J387</f>
        <v>100000</v>
      </c>
      <c r="J98" s="59">
        <f>'Прил 6'!K387</f>
        <v>100000</v>
      </c>
      <c r="K98" s="59">
        <f>'Прил 6'!L387</f>
        <v>100000</v>
      </c>
    </row>
    <row r="99" spans="1:11">
      <c r="A99" s="57" t="s">
        <v>312</v>
      </c>
      <c r="B99" s="58" t="s">
        <v>34</v>
      </c>
      <c r="C99" s="10">
        <v>3</v>
      </c>
      <c r="D99" s="58" t="s">
        <v>15</v>
      </c>
      <c r="E99" s="58">
        <v>29250</v>
      </c>
      <c r="F99" s="41">
        <v>240</v>
      </c>
      <c r="G99" s="9">
        <v>8</v>
      </c>
      <c r="H99" s="9">
        <v>4</v>
      </c>
      <c r="I99" s="59">
        <f>'Прил 6'!J389</f>
        <v>155971.66</v>
      </c>
      <c r="J99" s="59">
        <f>'Прил 6'!K389</f>
        <v>155971.66</v>
      </c>
      <c r="K99" s="59">
        <f>'Прил 6'!L389</f>
        <v>155971.66</v>
      </c>
    </row>
    <row r="100" spans="1:11">
      <c r="A100" s="57" t="s">
        <v>314</v>
      </c>
      <c r="B100" s="58" t="s">
        <v>34</v>
      </c>
      <c r="C100" s="10">
        <v>3</v>
      </c>
      <c r="D100" s="58" t="s">
        <v>15</v>
      </c>
      <c r="E100" s="58">
        <v>29260</v>
      </c>
      <c r="F100" s="41">
        <v>240</v>
      </c>
      <c r="G100" s="9">
        <v>8</v>
      </c>
      <c r="H100" s="9">
        <v>4</v>
      </c>
      <c r="I100" s="59">
        <f>'Прил 6'!J391</f>
        <v>152250</v>
      </c>
      <c r="J100" s="59">
        <f>'Прил 6'!K391</f>
        <v>152250</v>
      </c>
      <c r="K100" s="59">
        <f>'Прил 6'!L391</f>
        <v>152250</v>
      </c>
    </row>
    <row r="101" spans="1:11" ht="46.8">
      <c r="A101" s="57" t="s">
        <v>368</v>
      </c>
      <c r="B101" s="58" t="s">
        <v>34</v>
      </c>
      <c r="C101" s="10">
        <v>4</v>
      </c>
      <c r="D101" s="58" t="s">
        <v>15</v>
      </c>
      <c r="E101" s="58" t="s">
        <v>16</v>
      </c>
      <c r="F101" s="41" t="s">
        <v>341</v>
      </c>
      <c r="G101" s="9" t="s">
        <v>341</v>
      </c>
      <c r="H101" s="9" t="s">
        <v>341</v>
      </c>
      <c r="I101" s="59">
        <f>SUM(I102:I105)</f>
        <v>3152219.9299999997</v>
      </c>
      <c r="J101" s="59">
        <f t="shared" ref="J101:K101" si="23">SUM(J102:J105)</f>
        <v>3152219.9299999997</v>
      </c>
      <c r="K101" s="59">
        <f t="shared" si="23"/>
        <v>3074196.91</v>
      </c>
    </row>
    <row r="102" spans="1:11">
      <c r="A102" s="57" t="s">
        <v>324</v>
      </c>
      <c r="B102" s="58" t="s">
        <v>34</v>
      </c>
      <c r="C102" s="10">
        <v>4</v>
      </c>
      <c r="D102" s="58" t="s">
        <v>15</v>
      </c>
      <c r="E102" s="58">
        <v>29230</v>
      </c>
      <c r="F102" s="41">
        <v>240</v>
      </c>
      <c r="G102" s="9">
        <v>11</v>
      </c>
      <c r="H102" s="9">
        <v>5</v>
      </c>
      <c r="I102" s="59">
        <f>'Прил 6'!J411</f>
        <v>295000</v>
      </c>
      <c r="J102" s="59">
        <f>'Прил 6'!K411</f>
        <v>295000</v>
      </c>
      <c r="K102" s="59">
        <f>'Прил 6'!L411</f>
        <v>295000</v>
      </c>
    </row>
    <row r="103" spans="1:11">
      <c r="A103" s="57" t="s">
        <v>404</v>
      </c>
      <c r="B103" s="58" t="s">
        <v>34</v>
      </c>
      <c r="C103" s="10">
        <v>4</v>
      </c>
      <c r="D103" s="58" t="s">
        <v>15</v>
      </c>
      <c r="E103" s="58" t="s">
        <v>403</v>
      </c>
      <c r="F103" s="41">
        <v>240</v>
      </c>
      <c r="G103" s="9">
        <v>11</v>
      </c>
      <c r="H103" s="9">
        <v>5</v>
      </c>
      <c r="I103" s="59">
        <f>'Прил 6'!J412</f>
        <v>45000</v>
      </c>
      <c r="J103" s="59">
        <f>'Прил 6'!K412</f>
        <v>45000</v>
      </c>
      <c r="K103" s="59">
        <f>'Прил 6'!L412</f>
        <v>45000</v>
      </c>
    </row>
    <row r="104" spans="1:11">
      <c r="A104" s="57" t="s">
        <v>258</v>
      </c>
      <c r="B104" s="58" t="s">
        <v>34</v>
      </c>
      <c r="C104" s="10">
        <v>4</v>
      </c>
      <c r="D104" s="58" t="s">
        <v>15</v>
      </c>
      <c r="E104" s="58">
        <v>29370</v>
      </c>
      <c r="F104" s="41">
        <v>240</v>
      </c>
      <c r="G104" s="9">
        <v>11</v>
      </c>
      <c r="H104" s="9">
        <v>5</v>
      </c>
      <c r="I104" s="59">
        <f>'Прил 6'!J415</f>
        <v>1312219.93</v>
      </c>
      <c r="J104" s="59">
        <f>'Прил 6'!K415</f>
        <v>1312219.93</v>
      </c>
      <c r="K104" s="59">
        <f>'Прил 6'!L415</f>
        <v>1234196.9099999999</v>
      </c>
    </row>
    <row r="105" spans="1:11">
      <c r="A105" s="57" t="s">
        <v>326</v>
      </c>
      <c r="B105" s="58" t="s">
        <v>34</v>
      </c>
      <c r="C105" s="10">
        <v>4</v>
      </c>
      <c r="D105" s="58" t="s">
        <v>15</v>
      </c>
      <c r="E105" s="58">
        <v>29570</v>
      </c>
      <c r="F105" s="41">
        <v>240</v>
      </c>
      <c r="G105" s="9">
        <v>11</v>
      </c>
      <c r="H105" s="9">
        <v>5</v>
      </c>
      <c r="I105" s="59">
        <f>'Прил 6'!J417</f>
        <v>1500000</v>
      </c>
      <c r="J105" s="59">
        <f>'Прил 6'!K417</f>
        <v>1500000</v>
      </c>
      <c r="K105" s="59">
        <f>'Прил 6'!L417</f>
        <v>1500000</v>
      </c>
    </row>
    <row r="106" spans="1:11" ht="31.2">
      <c r="A106" s="57" t="s">
        <v>369</v>
      </c>
      <c r="B106" s="58" t="s">
        <v>34</v>
      </c>
      <c r="C106" s="10">
        <v>5</v>
      </c>
      <c r="D106" s="58" t="s">
        <v>15</v>
      </c>
      <c r="E106" s="58" t="s">
        <v>16</v>
      </c>
      <c r="F106" s="41"/>
      <c r="G106" s="9"/>
      <c r="H106" s="9"/>
      <c r="I106" s="59">
        <f>SUM(I107:I107)</f>
        <v>12434554.550000001</v>
      </c>
      <c r="J106" s="59">
        <f t="shared" ref="J106:K106" si="24">SUM(J107:J107)</f>
        <v>12434554.550000001</v>
      </c>
      <c r="K106" s="59">
        <f t="shared" si="24"/>
        <v>11912557.260000002</v>
      </c>
    </row>
    <row r="107" spans="1:11" ht="31.2">
      <c r="A107" s="57" t="s">
        <v>283</v>
      </c>
      <c r="B107" s="58" t="s">
        <v>34</v>
      </c>
      <c r="C107" s="10">
        <v>5</v>
      </c>
      <c r="D107" s="58" t="s">
        <v>15</v>
      </c>
      <c r="E107" s="58" t="s">
        <v>284</v>
      </c>
      <c r="F107" s="41">
        <v>620</v>
      </c>
      <c r="G107" s="9">
        <v>8</v>
      </c>
      <c r="H107" s="9">
        <v>1</v>
      </c>
      <c r="I107" s="59">
        <f>'Прил 6'!J356</f>
        <v>12434554.550000001</v>
      </c>
      <c r="J107" s="59">
        <f>'Прил 6'!K356</f>
        <v>12434554.550000001</v>
      </c>
      <c r="K107" s="59">
        <f>'Прил 6'!L356</f>
        <v>11912557.260000002</v>
      </c>
    </row>
    <row r="108" spans="1:11" ht="46.8">
      <c r="A108" s="57" t="s">
        <v>141</v>
      </c>
      <c r="B108" s="58" t="s">
        <v>36</v>
      </c>
      <c r="C108" s="10" t="s">
        <v>14</v>
      </c>
      <c r="D108" s="58" t="s">
        <v>15</v>
      </c>
      <c r="E108" s="58" t="s">
        <v>16</v>
      </c>
      <c r="F108" s="41" t="s">
        <v>341</v>
      </c>
      <c r="G108" s="9" t="s">
        <v>341</v>
      </c>
      <c r="H108" s="9" t="s">
        <v>341</v>
      </c>
      <c r="I108" s="59">
        <f>I109+I122+I129</f>
        <v>1641759.13</v>
      </c>
      <c r="J108" s="59">
        <f t="shared" ref="J108:K108" si="25">J109+J122+J129</f>
        <v>1641759.13</v>
      </c>
      <c r="K108" s="59">
        <f t="shared" si="25"/>
        <v>1602384.6400000001</v>
      </c>
    </row>
    <row r="109" spans="1:11" ht="46.8">
      <c r="A109" s="57" t="s">
        <v>370</v>
      </c>
      <c r="B109" s="58" t="s">
        <v>36</v>
      </c>
      <c r="C109" s="10" t="s">
        <v>17</v>
      </c>
      <c r="D109" s="58" t="s">
        <v>15</v>
      </c>
      <c r="E109" s="58" t="s">
        <v>16</v>
      </c>
      <c r="F109" s="41" t="s">
        <v>341</v>
      </c>
      <c r="G109" s="9" t="s">
        <v>341</v>
      </c>
      <c r="H109" s="9" t="s">
        <v>341</v>
      </c>
      <c r="I109" s="59">
        <f>I110+I112+I114+I116+I118+I120</f>
        <v>1007589.13</v>
      </c>
      <c r="J109" s="59">
        <f t="shared" ref="J109:K109" si="26">J110+J112+J114+J116+J118+J120</f>
        <v>1007589.13</v>
      </c>
      <c r="K109" s="59">
        <f t="shared" si="26"/>
        <v>996063.64</v>
      </c>
    </row>
    <row r="110" spans="1:11">
      <c r="A110" s="57" t="s">
        <v>371</v>
      </c>
      <c r="B110" s="58" t="s">
        <v>36</v>
      </c>
      <c r="C110" s="10">
        <v>1</v>
      </c>
      <c r="D110" s="58" t="s">
        <v>12</v>
      </c>
      <c r="E110" s="58" t="s">
        <v>16</v>
      </c>
      <c r="F110" s="41"/>
      <c r="G110" s="9"/>
      <c r="H110" s="9"/>
      <c r="I110" s="59">
        <f>I111</f>
        <v>453094.49</v>
      </c>
      <c r="J110" s="59">
        <f t="shared" ref="J110:K110" si="27">J111</f>
        <v>453094.49</v>
      </c>
      <c r="K110" s="59">
        <f t="shared" si="27"/>
        <v>449349</v>
      </c>
    </row>
    <row r="111" spans="1:11" ht="46.8">
      <c r="A111" s="57" t="s">
        <v>144</v>
      </c>
      <c r="B111" s="58" t="s">
        <v>36</v>
      </c>
      <c r="C111" s="10">
        <v>1</v>
      </c>
      <c r="D111" s="58" t="s">
        <v>12</v>
      </c>
      <c r="E111" s="58" t="s">
        <v>145</v>
      </c>
      <c r="F111" s="41">
        <v>240</v>
      </c>
      <c r="G111" s="9">
        <v>1</v>
      </c>
      <c r="H111" s="9">
        <v>13</v>
      </c>
      <c r="I111" s="59">
        <f>'Прил 6'!J78</f>
        <v>453094.49</v>
      </c>
      <c r="J111" s="59">
        <f>'Прил 6'!K78</f>
        <v>453094.49</v>
      </c>
      <c r="K111" s="59">
        <f>'Прил 6'!L78</f>
        <v>449349</v>
      </c>
    </row>
    <row r="112" spans="1:11" ht="31.2">
      <c r="A112" s="57" t="s">
        <v>372</v>
      </c>
      <c r="B112" s="58" t="s">
        <v>36</v>
      </c>
      <c r="C112" s="10">
        <v>1</v>
      </c>
      <c r="D112" s="58" t="s">
        <v>13</v>
      </c>
      <c r="E112" s="58" t="s">
        <v>16</v>
      </c>
      <c r="F112" s="41"/>
      <c r="G112" s="9"/>
      <c r="H112" s="9"/>
      <c r="I112" s="59">
        <f>I113</f>
        <v>35000</v>
      </c>
      <c r="J112" s="59">
        <f t="shared" ref="J112:K112" si="28">J113</f>
        <v>35000</v>
      </c>
      <c r="K112" s="59">
        <f t="shared" si="28"/>
        <v>35000</v>
      </c>
    </row>
    <row r="113" spans="1:11" ht="46.8">
      <c r="A113" s="57" t="s">
        <v>144</v>
      </c>
      <c r="B113" s="58" t="s">
        <v>36</v>
      </c>
      <c r="C113" s="10">
        <v>1</v>
      </c>
      <c r="D113" s="58" t="s">
        <v>13</v>
      </c>
      <c r="E113" s="58" t="s">
        <v>145</v>
      </c>
      <c r="F113" s="41">
        <v>240</v>
      </c>
      <c r="G113" s="9">
        <v>1</v>
      </c>
      <c r="H113" s="9">
        <v>13</v>
      </c>
      <c r="I113" s="59">
        <f>'Прил 6'!J81</f>
        <v>35000</v>
      </c>
      <c r="J113" s="59">
        <f>'Прил 6'!K81</f>
        <v>35000</v>
      </c>
      <c r="K113" s="59">
        <f>'Прил 6'!L81</f>
        <v>35000</v>
      </c>
    </row>
    <row r="114" spans="1:11" ht="31.2">
      <c r="A114" s="57" t="s">
        <v>373</v>
      </c>
      <c r="B114" s="58" t="s">
        <v>36</v>
      </c>
      <c r="C114" s="10">
        <v>1</v>
      </c>
      <c r="D114" s="58" t="s">
        <v>19</v>
      </c>
      <c r="E114" s="58" t="s">
        <v>16</v>
      </c>
      <c r="F114" s="41"/>
      <c r="G114" s="9"/>
      <c r="H114" s="9"/>
      <c r="I114" s="59">
        <f>I115</f>
        <v>403294.64</v>
      </c>
      <c r="J114" s="59">
        <f t="shared" ref="J114:K114" si="29">J115</f>
        <v>431814.64</v>
      </c>
      <c r="K114" s="59">
        <f t="shared" si="29"/>
        <v>431814.64</v>
      </c>
    </row>
    <row r="115" spans="1:11" ht="46.8">
      <c r="A115" s="57" t="s">
        <v>144</v>
      </c>
      <c r="B115" s="58" t="s">
        <v>36</v>
      </c>
      <c r="C115" s="10">
        <v>1</v>
      </c>
      <c r="D115" s="58" t="s">
        <v>19</v>
      </c>
      <c r="E115" s="58" t="s">
        <v>145</v>
      </c>
      <c r="F115" s="41">
        <v>240</v>
      </c>
      <c r="G115" s="9">
        <v>1</v>
      </c>
      <c r="H115" s="9">
        <v>13</v>
      </c>
      <c r="I115" s="59">
        <f>'Прил 6'!J84</f>
        <v>403294.64</v>
      </c>
      <c r="J115" s="59">
        <f>'Прил 6'!K84</f>
        <v>431814.64</v>
      </c>
      <c r="K115" s="59">
        <f>'Прил 6'!L84</f>
        <v>431814.64</v>
      </c>
    </row>
    <row r="116" spans="1:11">
      <c r="A116" s="57" t="s">
        <v>374</v>
      </c>
      <c r="B116" s="58" t="s">
        <v>36</v>
      </c>
      <c r="C116" s="10">
        <v>1</v>
      </c>
      <c r="D116" s="58" t="s">
        <v>31</v>
      </c>
      <c r="E116" s="58" t="s">
        <v>16</v>
      </c>
      <c r="F116" s="41"/>
      <c r="G116" s="9"/>
      <c r="H116" s="9"/>
      <c r="I116" s="59">
        <f>I117</f>
        <v>50000</v>
      </c>
      <c r="J116" s="59">
        <f t="shared" ref="J116:K116" si="30">J117</f>
        <v>50000</v>
      </c>
      <c r="K116" s="59">
        <f t="shared" si="30"/>
        <v>43200</v>
      </c>
    </row>
    <row r="117" spans="1:11" ht="46.8">
      <c r="A117" s="57" t="s">
        <v>144</v>
      </c>
      <c r="B117" s="58" t="s">
        <v>36</v>
      </c>
      <c r="C117" s="10">
        <v>1</v>
      </c>
      <c r="D117" s="58" t="s">
        <v>31</v>
      </c>
      <c r="E117" s="58" t="s">
        <v>145</v>
      </c>
      <c r="F117" s="41">
        <v>240</v>
      </c>
      <c r="G117" s="9">
        <v>1</v>
      </c>
      <c r="H117" s="9">
        <v>13</v>
      </c>
      <c r="I117" s="59">
        <f>'Прил 6'!J87</f>
        <v>50000</v>
      </c>
      <c r="J117" s="59">
        <f>'Прил 6'!K87</f>
        <v>50000</v>
      </c>
      <c r="K117" s="59">
        <f>'Прил 6'!L87</f>
        <v>43200</v>
      </c>
    </row>
    <row r="118" spans="1:11" ht="62.4">
      <c r="A118" s="57" t="s">
        <v>375</v>
      </c>
      <c r="B118" s="58" t="s">
        <v>36</v>
      </c>
      <c r="C118" s="10">
        <v>1</v>
      </c>
      <c r="D118" s="58" t="s">
        <v>32</v>
      </c>
      <c r="E118" s="58" t="s">
        <v>16</v>
      </c>
      <c r="F118" s="41"/>
      <c r="G118" s="9"/>
      <c r="H118" s="9"/>
      <c r="I118" s="59">
        <f>I119</f>
        <v>30000</v>
      </c>
      <c r="J118" s="59">
        <f t="shared" ref="J118:K118" si="31">J119</f>
        <v>980</v>
      </c>
      <c r="K118" s="59">
        <f t="shared" si="31"/>
        <v>0</v>
      </c>
    </row>
    <row r="119" spans="1:11" ht="46.8">
      <c r="A119" s="57" t="s">
        <v>144</v>
      </c>
      <c r="B119" s="58" t="s">
        <v>36</v>
      </c>
      <c r="C119" s="10">
        <v>1</v>
      </c>
      <c r="D119" s="58" t="s">
        <v>32</v>
      </c>
      <c r="E119" s="58" t="s">
        <v>145</v>
      </c>
      <c r="F119" s="41">
        <v>240</v>
      </c>
      <c r="G119" s="9">
        <v>1</v>
      </c>
      <c r="H119" s="9">
        <v>13</v>
      </c>
      <c r="I119" s="59">
        <f>'Прил 6'!J90</f>
        <v>30000</v>
      </c>
      <c r="J119" s="59">
        <f>'Прил 6'!K90</f>
        <v>980</v>
      </c>
      <c r="K119" s="59">
        <f>'Прил 6'!L90</f>
        <v>0</v>
      </c>
    </row>
    <row r="120" spans="1:11" ht="31.2">
      <c r="A120" s="57" t="s">
        <v>376</v>
      </c>
      <c r="B120" s="58" t="s">
        <v>36</v>
      </c>
      <c r="C120" s="10">
        <v>1</v>
      </c>
      <c r="D120" s="58" t="s">
        <v>34</v>
      </c>
      <c r="E120" s="58" t="s">
        <v>16</v>
      </c>
      <c r="F120" s="41"/>
      <c r="G120" s="9"/>
      <c r="H120" s="9"/>
      <c r="I120" s="59">
        <f>I121</f>
        <v>36200</v>
      </c>
      <c r="J120" s="59">
        <f t="shared" ref="J120:K120" si="32">J121</f>
        <v>36700</v>
      </c>
      <c r="K120" s="59">
        <f t="shared" si="32"/>
        <v>36700</v>
      </c>
    </row>
    <row r="121" spans="1:11" ht="46.8">
      <c r="A121" s="57" t="s">
        <v>144</v>
      </c>
      <c r="B121" s="58" t="s">
        <v>36</v>
      </c>
      <c r="C121" s="10">
        <v>1</v>
      </c>
      <c r="D121" s="58" t="s">
        <v>34</v>
      </c>
      <c r="E121" s="58" t="s">
        <v>145</v>
      </c>
      <c r="F121" s="41">
        <v>240</v>
      </c>
      <c r="G121" s="9">
        <v>1</v>
      </c>
      <c r="H121" s="9">
        <v>13</v>
      </c>
      <c r="I121" s="59">
        <f>'Прил 6'!J93</f>
        <v>36200</v>
      </c>
      <c r="J121" s="59">
        <f>'Прил 6'!K93</f>
        <v>36700</v>
      </c>
      <c r="K121" s="59">
        <f>'Прил 6'!L93</f>
        <v>36700</v>
      </c>
    </row>
    <row r="122" spans="1:11" ht="31.2">
      <c r="A122" s="57" t="s">
        <v>377</v>
      </c>
      <c r="B122" s="58" t="s">
        <v>36</v>
      </c>
      <c r="C122" s="58">
        <v>2</v>
      </c>
      <c r="D122" s="58" t="s">
        <v>15</v>
      </c>
      <c r="E122" s="58" t="s">
        <v>16</v>
      </c>
      <c r="F122" s="41" t="s">
        <v>341</v>
      </c>
      <c r="G122" s="9" t="s">
        <v>341</v>
      </c>
      <c r="H122" s="9" t="s">
        <v>341</v>
      </c>
      <c r="I122" s="59">
        <f>I123+I125+I127</f>
        <v>558170</v>
      </c>
      <c r="J122" s="59">
        <f t="shared" ref="J122:K122" si="33">J123+J125+J127</f>
        <v>558170</v>
      </c>
      <c r="K122" s="59">
        <f t="shared" si="33"/>
        <v>535345</v>
      </c>
    </row>
    <row r="123" spans="1:11">
      <c r="A123" s="57" t="s">
        <v>371</v>
      </c>
      <c r="B123" s="58" t="s">
        <v>36</v>
      </c>
      <c r="C123" s="58" t="s">
        <v>20</v>
      </c>
      <c r="D123" s="58" t="s">
        <v>12</v>
      </c>
      <c r="E123" s="58" t="s">
        <v>16</v>
      </c>
      <c r="F123" s="41"/>
      <c r="G123" s="9"/>
      <c r="H123" s="9"/>
      <c r="I123" s="59">
        <f>I124</f>
        <v>438000</v>
      </c>
      <c r="J123" s="59">
        <f t="shared" ref="J123:K123" si="34">J124</f>
        <v>438000</v>
      </c>
      <c r="K123" s="59">
        <f t="shared" si="34"/>
        <v>420175</v>
      </c>
    </row>
    <row r="124" spans="1:11" ht="46.8">
      <c r="A124" s="57" t="s">
        <v>144</v>
      </c>
      <c r="B124" s="58" t="s">
        <v>36</v>
      </c>
      <c r="C124" s="58" t="s">
        <v>20</v>
      </c>
      <c r="D124" s="58" t="s">
        <v>12</v>
      </c>
      <c r="E124" s="58" t="s">
        <v>145</v>
      </c>
      <c r="F124" s="41">
        <v>240</v>
      </c>
      <c r="G124" s="9">
        <v>5</v>
      </c>
      <c r="H124" s="9">
        <v>5</v>
      </c>
      <c r="I124" s="59">
        <f>'Прил 6'!J314</f>
        <v>438000</v>
      </c>
      <c r="J124" s="59">
        <f>'Прил 6'!K314</f>
        <v>438000</v>
      </c>
      <c r="K124" s="59">
        <f>'Прил 6'!L314</f>
        <v>420175</v>
      </c>
    </row>
    <row r="125" spans="1:11">
      <c r="A125" s="57" t="s">
        <v>378</v>
      </c>
      <c r="B125" s="58" t="s">
        <v>36</v>
      </c>
      <c r="C125" s="58" t="s">
        <v>20</v>
      </c>
      <c r="D125" s="58" t="s">
        <v>13</v>
      </c>
      <c r="E125" s="58" t="s">
        <v>16</v>
      </c>
      <c r="F125" s="41"/>
      <c r="G125" s="9"/>
      <c r="H125" s="9"/>
      <c r="I125" s="59">
        <f>I126</f>
        <v>115170</v>
      </c>
      <c r="J125" s="59">
        <f t="shared" ref="J125:K125" si="35">J126</f>
        <v>115170</v>
      </c>
      <c r="K125" s="59">
        <f t="shared" si="35"/>
        <v>115170</v>
      </c>
    </row>
    <row r="126" spans="1:11" ht="46.8">
      <c r="A126" s="57" t="s">
        <v>144</v>
      </c>
      <c r="B126" s="58" t="s">
        <v>36</v>
      </c>
      <c r="C126" s="58" t="s">
        <v>20</v>
      </c>
      <c r="D126" s="58" t="s">
        <v>13</v>
      </c>
      <c r="E126" s="58" t="s">
        <v>145</v>
      </c>
      <c r="F126" s="41">
        <v>240</v>
      </c>
      <c r="G126" s="9">
        <v>5</v>
      </c>
      <c r="H126" s="9">
        <v>5</v>
      </c>
      <c r="I126" s="59">
        <f>'Прил 6'!J317</f>
        <v>115170</v>
      </c>
      <c r="J126" s="59">
        <f>'Прил 6'!K317</f>
        <v>115170</v>
      </c>
      <c r="K126" s="59">
        <f>'Прил 6'!L317</f>
        <v>115170</v>
      </c>
    </row>
    <row r="127" spans="1:11" ht="31.2">
      <c r="A127" s="57" t="s">
        <v>376</v>
      </c>
      <c r="B127" s="58" t="s">
        <v>36</v>
      </c>
      <c r="C127" s="10">
        <v>2</v>
      </c>
      <c r="D127" s="58" t="s">
        <v>19</v>
      </c>
      <c r="E127" s="58" t="s">
        <v>16</v>
      </c>
      <c r="F127" s="41"/>
      <c r="G127" s="9"/>
      <c r="H127" s="9"/>
      <c r="I127" s="59">
        <f>I128</f>
        <v>5000</v>
      </c>
      <c r="J127" s="59">
        <f t="shared" ref="J127:K127" si="36">J128</f>
        <v>5000</v>
      </c>
      <c r="K127" s="59">
        <f t="shared" si="36"/>
        <v>0</v>
      </c>
    </row>
    <row r="128" spans="1:11" ht="46.8">
      <c r="A128" s="57" t="s">
        <v>144</v>
      </c>
      <c r="B128" s="58" t="s">
        <v>36</v>
      </c>
      <c r="C128" s="10">
        <v>2</v>
      </c>
      <c r="D128" s="58" t="s">
        <v>19</v>
      </c>
      <c r="E128" s="58" t="s">
        <v>145</v>
      </c>
      <c r="F128" s="41">
        <v>240</v>
      </c>
      <c r="G128" s="9">
        <v>5</v>
      </c>
      <c r="H128" s="9">
        <v>5</v>
      </c>
      <c r="I128" s="59">
        <f>'Прил 6'!J320</f>
        <v>5000</v>
      </c>
      <c r="J128" s="59">
        <f>'Прил 6'!K320</f>
        <v>5000</v>
      </c>
      <c r="K128" s="59">
        <f>'Прил 6'!L320</f>
        <v>0</v>
      </c>
    </row>
    <row r="129" spans="1:11" ht="31.2">
      <c r="A129" s="57" t="s">
        <v>377</v>
      </c>
      <c r="B129" s="58" t="s">
        <v>36</v>
      </c>
      <c r="C129" s="58" t="s">
        <v>21</v>
      </c>
      <c r="D129" s="58" t="s">
        <v>15</v>
      </c>
      <c r="E129" s="58" t="s">
        <v>16</v>
      </c>
      <c r="F129" s="41" t="s">
        <v>341</v>
      </c>
      <c r="G129" s="9" t="s">
        <v>341</v>
      </c>
      <c r="H129" s="9" t="s">
        <v>341</v>
      </c>
      <c r="I129" s="59">
        <f>I130+I132</f>
        <v>76000</v>
      </c>
      <c r="J129" s="59">
        <f t="shared" ref="J129:K129" si="37">J130+J132</f>
        <v>76000</v>
      </c>
      <c r="K129" s="59">
        <f t="shared" si="37"/>
        <v>70976</v>
      </c>
    </row>
    <row r="130" spans="1:11">
      <c r="A130" s="57" t="s">
        <v>371</v>
      </c>
      <c r="B130" s="58" t="s">
        <v>36</v>
      </c>
      <c r="C130" s="58" t="s">
        <v>21</v>
      </c>
      <c r="D130" s="58" t="s">
        <v>12</v>
      </c>
      <c r="E130" s="58" t="s">
        <v>16</v>
      </c>
      <c r="F130" s="41"/>
      <c r="G130" s="9"/>
      <c r="H130" s="9"/>
      <c r="I130" s="59">
        <f>I131</f>
        <v>71000</v>
      </c>
      <c r="J130" s="59">
        <f t="shared" ref="J130:K130" si="38">J131</f>
        <v>71000</v>
      </c>
      <c r="K130" s="59">
        <f t="shared" si="38"/>
        <v>70976</v>
      </c>
    </row>
    <row r="131" spans="1:11" ht="46.8">
      <c r="A131" s="57" t="s">
        <v>144</v>
      </c>
      <c r="B131" s="58" t="s">
        <v>36</v>
      </c>
      <c r="C131" s="58" t="s">
        <v>21</v>
      </c>
      <c r="D131" s="58" t="s">
        <v>12</v>
      </c>
      <c r="E131" s="58" t="s">
        <v>145</v>
      </c>
      <c r="F131" s="41">
        <v>240</v>
      </c>
      <c r="G131" s="9">
        <v>8</v>
      </c>
      <c r="H131" s="9">
        <v>1</v>
      </c>
      <c r="I131" s="59">
        <f>'Прил 6'!J363</f>
        <v>71000</v>
      </c>
      <c r="J131" s="59">
        <f>'Прил 6'!K363</f>
        <v>71000</v>
      </c>
      <c r="K131" s="59">
        <f>'Прил 6'!L363</f>
        <v>70976</v>
      </c>
    </row>
    <row r="132" spans="1:11" ht="31.2">
      <c r="A132" s="57" t="s">
        <v>376</v>
      </c>
      <c r="B132" s="58" t="s">
        <v>36</v>
      </c>
      <c r="C132" s="10">
        <v>3</v>
      </c>
      <c r="D132" s="58" t="s">
        <v>13</v>
      </c>
      <c r="E132" s="58" t="s">
        <v>16</v>
      </c>
      <c r="F132" s="41"/>
      <c r="G132" s="9"/>
      <c r="H132" s="9"/>
      <c r="I132" s="59">
        <f>I133</f>
        <v>5000</v>
      </c>
      <c r="J132" s="59">
        <f t="shared" ref="J132:K132" si="39">J133</f>
        <v>5000</v>
      </c>
      <c r="K132" s="59">
        <f t="shared" si="39"/>
        <v>0</v>
      </c>
    </row>
    <row r="133" spans="1:11" ht="46.8">
      <c r="A133" s="57" t="s">
        <v>144</v>
      </c>
      <c r="B133" s="58" t="s">
        <v>36</v>
      </c>
      <c r="C133" s="10">
        <v>3</v>
      </c>
      <c r="D133" s="58" t="s">
        <v>13</v>
      </c>
      <c r="E133" s="58" t="s">
        <v>145</v>
      </c>
      <c r="F133" s="41">
        <v>240</v>
      </c>
      <c r="G133" s="9">
        <v>8</v>
      </c>
      <c r="H133" s="9">
        <v>1</v>
      </c>
      <c r="I133" s="59">
        <f>'Прил 6'!J366</f>
        <v>5000</v>
      </c>
      <c r="J133" s="59">
        <f>'Прил 6'!K366</f>
        <v>5000</v>
      </c>
      <c r="K133" s="59">
        <f>'Прил 6'!L366</f>
        <v>0</v>
      </c>
    </row>
    <row r="134" spans="1:11" ht="46.8">
      <c r="A134" s="57" t="s">
        <v>151</v>
      </c>
      <c r="B134" s="58" t="s">
        <v>64</v>
      </c>
      <c r="C134" s="10" t="s">
        <v>14</v>
      </c>
      <c r="D134" s="58" t="s">
        <v>15</v>
      </c>
      <c r="E134" s="58" t="s">
        <v>16</v>
      </c>
      <c r="F134" s="41" t="s">
        <v>341</v>
      </c>
      <c r="G134" s="9" t="s">
        <v>341</v>
      </c>
      <c r="H134" s="9" t="s">
        <v>341</v>
      </c>
      <c r="I134" s="59">
        <f>SUM(I135:I139)</f>
        <v>14313</v>
      </c>
      <c r="J134" s="59">
        <f t="shared" ref="J134:K134" si="40">SUM(J135:J139)</f>
        <v>14313</v>
      </c>
      <c r="K134" s="59">
        <f t="shared" si="40"/>
        <v>14313</v>
      </c>
    </row>
    <row r="135" spans="1:11" ht="31.2">
      <c r="A135" s="57" t="s">
        <v>153</v>
      </c>
      <c r="B135" s="58" t="s">
        <v>64</v>
      </c>
      <c r="C135" s="10">
        <v>0</v>
      </c>
      <c r="D135" s="58" t="s">
        <v>15</v>
      </c>
      <c r="E135" s="58">
        <v>29010</v>
      </c>
      <c r="F135" s="41">
        <v>240</v>
      </c>
      <c r="G135" s="9">
        <v>1</v>
      </c>
      <c r="H135" s="9">
        <v>13</v>
      </c>
      <c r="I135" s="59">
        <f>'Прил 6'!J97</f>
        <v>0</v>
      </c>
      <c r="J135" s="59">
        <f>'Прил 6'!K97</f>
        <v>0</v>
      </c>
      <c r="K135" s="59">
        <f>'Прил 6'!L97</f>
        <v>0</v>
      </c>
    </row>
    <row r="136" spans="1:11">
      <c r="A136" s="57" t="s">
        <v>59</v>
      </c>
      <c r="B136" s="58" t="s">
        <v>64</v>
      </c>
      <c r="C136" s="10">
        <v>0</v>
      </c>
      <c r="D136" s="58" t="s">
        <v>15</v>
      </c>
      <c r="E136" s="58">
        <v>29010</v>
      </c>
      <c r="F136" s="41">
        <v>360</v>
      </c>
      <c r="G136" s="9">
        <v>1</v>
      </c>
      <c r="H136" s="9">
        <v>13</v>
      </c>
      <c r="I136" s="59">
        <f>'Прил 6'!J98</f>
        <v>3813</v>
      </c>
      <c r="J136" s="59">
        <f>'Прил 6'!K98</f>
        <v>3813</v>
      </c>
      <c r="K136" s="59">
        <f>'Прил 6'!L98</f>
        <v>3813</v>
      </c>
    </row>
    <row r="137" spans="1:11" ht="31.2">
      <c r="A137" s="57" t="s">
        <v>416</v>
      </c>
      <c r="B137" s="58" t="s">
        <v>64</v>
      </c>
      <c r="C137" s="10">
        <v>0</v>
      </c>
      <c r="D137" s="58" t="s">
        <v>15</v>
      </c>
      <c r="E137" s="58" t="s">
        <v>415</v>
      </c>
      <c r="F137" s="41">
        <v>350</v>
      </c>
      <c r="G137" s="9">
        <v>1</v>
      </c>
      <c r="H137" s="9">
        <v>13</v>
      </c>
      <c r="I137" s="59">
        <f>'Прил 6'!J100</f>
        <v>4500</v>
      </c>
      <c r="J137" s="59">
        <f>'Прил 6'!K100</f>
        <v>4500</v>
      </c>
      <c r="K137" s="59">
        <f>'Прил 6'!L100</f>
        <v>4500</v>
      </c>
    </row>
    <row r="138" spans="1:11" ht="62.4">
      <c r="A138" s="57" t="s">
        <v>408</v>
      </c>
      <c r="B138" s="58" t="s">
        <v>64</v>
      </c>
      <c r="C138" s="10">
        <v>0</v>
      </c>
      <c r="D138" s="58" t="s">
        <v>15</v>
      </c>
      <c r="E138" s="58" t="s">
        <v>407</v>
      </c>
      <c r="F138" s="41">
        <v>350</v>
      </c>
      <c r="G138" s="9">
        <v>1</v>
      </c>
      <c r="H138" s="9">
        <v>13</v>
      </c>
      <c r="I138" s="59">
        <f>'Прил 6'!J102</f>
        <v>4500</v>
      </c>
      <c r="J138" s="59">
        <f>'Прил 6'!K102</f>
        <v>4500</v>
      </c>
      <c r="K138" s="59">
        <f>'Прил 6'!L102</f>
        <v>4500</v>
      </c>
    </row>
    <row r="139" spans="1:11" ht="31.2">
      <c r="A139" s="57" t="s">
        <v>4</v>
      </c>
      <c r="B139" s="58" t="s">
        <v>64</v>
      </c>
      <c r="C139" s="10">
        <v>0</v>
      </c>
      <c r="D139" s="58" t="s">
        <v>15</v>
      </c>
      <c r="E139" s="58" t="s">
        <v>155</v>
      </c>
      <c r="F139" s="41">
        <v>360</v>
      </c>
      <c r="G139" s="9">
        <v>1</v>
      </c>
      <c r="H139" s="9">
        <v>13</v>
      </c>
      <c r="I139" s="59">
        <f>'Прил 6'!J104</f>
        <v>1500</v>
      </c>
      <c r="J139" s="59">
        <f>'Прил 6'!K104</f>
        <v>1500</v>
      </c>
      <c r="K139" s="59">
        <f>'Прил 6'!L104</f>
        <v>1500</v>
      </c>
    </row>
    <row r="140" spans="1:11" ht="93.6">
      <c r="A140" s="11" t="s">
        <v>288</v>
      </c>
      <c r="B140" s="58" t="s">
        <v>50</v>
      </c>
      <c r="C140" s="10" t="s">
        <v>14</v>
      </c>
      <c r="D140" s="58" t="s">
        <v>15</v>
      </c>
      <c r="E140" s="58" t="s">
        <v>16</v>
      </c>
      <c r="F140" s="41"/>
      <c r="G140" s="9"/>
      <c r="H140" s="9"/>
      <c r="I140" s="59">
        <f>I141</f>
        <v>23590</v>
      </c>
      <c r="J140" s="59">
        <f t="shared" ref="J140:K140" si="41">J141</f>
        <v>23590</v>
      </c>
      <c r="K140" s="59">
        <f t="shared" si="41"/>
        <v>10590</v>
      </c>
    </row>
    <row r="141" spans="1:11" ht="31.2">
      <c r="A141" s="11" t="s">
        <v>289</v>
      </c>
      <c r="B141" s="58" t="s">
        <v>50</v>
      </c>
      <c r="C141" s="10">
        <v>0</v>
      </c>
      <c r="D141" s="58" t="s">
        <v>15</v>
      </c>
      <c r="E141" s="58" t="s">
        <v>290</v>
      </c>
      <c r="F141" s="41">
        <v>240</v>
      </c>
      <c r="G141" s="9">
        <v>7</v>
      </c>
      <c r="H141" s="9">
        <v>5</v>
      </c>
      <c r="I141" s="59">
        <f>'Прил 6'!J331</f>
        <v>23590</v>
      </c>
      <c r="J141" s="59">
        <f>'Прил 6'!K331</f>
        <v>23590</v>
      </c>
      <c r="K141" s="59">
        <f>'Прил 6'!L331</f>
        <v>10590</v>
      </c>
    </row>
    <row r="142" spans="1:11" ht="46.8">
      <c r="A142" s="57" t="s">
        <v>156</v>
      </c>
      <c r="B142" s="58" t="s">
        <v>38</v>
      </c>
      <c r="C142" s="10" t="s">
        <v>14</v>
      </c>
      <c r="D142" s="58" t="s">
        <v>15</v>
      </c>
      <c r="E142" s="58" t="s">
        <v>16</v>
      </c>
      <c r="F142" s="41" t="s">
        <v>341</v>
      </c>
      <c r="G142" s="9" t="s">
        <v>341</v>
      </c>
      <c r="H142" s="9" t="s">
        <v>341</v>
      </c>
      <c r="I142" s="59">
        <f>I143</f>
        <v>30600</v>
      </c>
      <c r="J142" s="59">
        <f t="shared" ref="J142:K142" si="42">J143</f>
        <v>30600</v>
      </c>
      <c r="K142" s="59">
        <f t="shared" si="42"/>
        <v>26500</v>
      </c>
    </row>
    <row r="143" spans="1:11">
      <c r="A143" s="57" t="s">
        <v>379</v>
      </c>
      <c r="B143" s="58" t="s">
        <v>38</v>
      </c>
      <c r="C143" s="10">
        <v>0</v>
      </c>
      <c r="D143" s="58" t="s">
        <v>12</v>
      </c>
      <c r="E143" s="58" t="s">
        <v>16</v>
      </c>
      <c r="F143" s="41"/>
      <c r="G143" s="9"/>
      <c r="H143" s="9"/>
      <c r="I143" s="59">
        <f>SUM(I144:I145)</f>
        <v>30600</v>
      </c>
      <c r="J143" s="59">
        <f t="shared" ref="J143:K143" si="43">SUM(J144:J145)</f>
        <v>30600</v>
      </c>
      <c r="K143" s="59">
        <f t="shared" si="43"/>
        <v>26500</v>
      </c>
    </row>
    <row r="144" spans="1:11">
      <c r="A144" s="57" t="s">
        <v>158</v>
      </c>
      <c r="B144" s="58" t="s">
        <v>38</v>
      </c>
      <c r="C144" s="10">
        <v>0</v>
      </c>
      <c r="D144" s="58" t="s">
        <v>12</v>
      </c>
      <c r="E144" s="58" t="s">
        <v>159</v>
      </c>
      <c r="F144" s="41">
        <v>240</v>
      </c>
      <c r="G144" s="9">
        <v>1</v>
      </c>
      <c r="H144" s="9">
        <v>13</v>
      </c>
      <c r="I144" s="59">
        <f>'Прил 6'!J108</f>
        <v>30600</v>
      </c>
      <c r="J144" s="59">
        <f>'Прил 6'!K108</f>
        <v>30600</v>
      </c>
      <c r="K144" s="59">
        <f>'Прил 6'!L108</f>
        <v>26500</v>
      </c>
    </row>
    <row r="145" spans="1:11" hidden="1">
      <c r="A145" s="57" t="s">
        <v>158</v>
      </c>
      <c r="B145" s="58" t="s">
        <v>38</v>
      </c>
      <c r="C145" s="10">
        <v>0</v>
      </c>
      <c r="D145" s="58" t="s">
        <v>12</v>
      </c>
      <c r="E145" s="58" t="s">
        <v>159</v>
      </c>
      <c r="F145" s="41">
        <v>240</v>
      </c>
      <c r="G145" s="9">
        <v>8</v>
      </c>
      <c r="H145" s="9">
        <v>1</v>
      </c>
      <c r="I145" s="59">
        <f>'Прил 6'!J370</f>
        <v>0</v>
      </c>
      <c r="J145" s="59">
        <f>'Прил 6'!K370</f>
        <v>0</v>
      </c>
      <c r="K145" s="59">
        <f>'Прил 6'!L370</f>
        <v>0</v>
      </c>
    </row>
    <row r="146" spans="1:11" ht="62.4">
      <c r="A146" s="57" t="s">
        <v>102</v>
      </c>
      <c r="B146" s="58" t="s">
        <v>42</v>
      </c>
      <c r="C146" s="10" t="s">
        <v>14</v>
      </c>
      <c r="D146" s="58" t="s">
        <v>15</v>
      </c>
      <c r="E146" s="58" t="s">
        <v>16</v>
      </c>
      <c r="F146" s="41" t="s">
        <v>341</v>
      </c>
      <c r="G146" s="9" t="s">
        <v>341</v>
      </c>
      <c r="H146" s="9" t="s">
        <v>341</v>
      </c>
      <c r="I146" s="59">
        <f>I147</f>
        <v>1384000</v>
      </c>
      <c r="J146" s="59">
        <f t="shared" ref="J146:K146" si="44">J147</f>
        <v>1384000</v>
      </c>
      <c r="K146" s="59">
        <f t="shared" si="44"/>
        <v>582573.06000000006</v>
      </c>
    </row>
    <row r="147" spans="1:11" ht="31.2">
      <c r="A147" s="57" t="s">
        <v>380</v>
      </c>
      <c r="B147" s="58" t="s">
        <v>42</v>
      </c>
      <c r="C147" s="10">
        <v>0</v>
      </c>
      <c r="D147" s="58" t="s">
        <v>12</v>
      </c>
      <c r="E147" s="58" t="s">
        <v>16</v>
      </c>
      <c r="F147" s="41" t="s">
        <v>341</v>
      </c>
      <c r="G147" s="9" t="s">
        <v>341</v>
      </c>
      <c r="H147" s="9" t="s">
        <v>341</v>
      </c>
      <c r="I147" s="59">
        <f>SUM(I148:I150)</f>
        <v>1384000</v>
      </c>
      <c r="J147" s="59">
        <f t="shared" ref="J147:K147" si="45">SUM(J148:J150)</f>
        <v>1384000</v>
      </c>
      <c r="K147" s="59">
        <f t="shared" si="45"/>
        <v>582573.06000000006</v>
      </c>
    </row>
    <row r="148" spans="1:11" ht="31.2" hidden="1">
      <c r="A148" s="57" t="s">
        <v>103</v>
      </c>
      <c r="B148" s="58" t="s">
        <v>42</v>
      </c>
      <c r="C148" s="10">
        <v>0</v>
      </c>
      <c r="D148" s="58" t="s">
        <v>12</v>
      </c>
      <c r="E148" s="58">
        <v>26910</v>
      </c>
      <c r="F148" s="41">
        <v>240</v>
      </c>
      <c r="G148" s="9">
        <v>1</v>
      </c>
      <c r="H148" s="9">
        <v>4</v>
      </c>
      <c r="I148" s="59">
        <f>'Прил 6'!J18</f>
        <v>0</v>
      </c>
      <c r="J148" s="59">
        <f>'Прил 6'!K18</f>
        <v>0</v>
      </c>
      <c r="K148" s="59">
        <f>'Прил 6'!L18</f>
        <v>0</v>
      </c>
    </row>
    <row r="149" spans="1:11" ht="31.2">
      <c r="A149" s="57" t="s">
        <v>103</v>
      </c>
      <c r="B149" s="58" t="s">
        <v>42</v>
      </c>
      <c r="C149" s="10">
        <v>0</v>
      </c>
      <c r="D149" s="58" t="s">
        <v>12</v>
      </c>
      <c r="E149" s="58">
        <v>26910</v>
      </c>
      <c r="F149" s="41">
        <v>240</v>
      </c>
      <c r="G149" s="9">
        <v>1</v>
      </c>
      <c r="H149" s="9">
        <v>13</v>
      </c>
      <c r="I149" s="59">
        <f>'Прил 6'!J112</f>
        <v>84000</v>
      </c>
      <c r="J149" s="59">
        <f>'Прил 6'!K112</f>
        <v>84000</v>
      </c>
      <c r="K149" s="59">
        <f>'Прил 6'!L112</f>
        <v>70000</v>
      </c>
    </row>
    <row r="150" spans="1:11" ht="31.2">
      <c r="A150" s="57" t="s">
        <v>103</v>
      </c>
      <c r="B150" s="58" t="s">
        <v>42</v>
      </c>
      <c r="C150" s="10">
        <v>0</v>
      </c>
      <c r="D150" s="58" t="s">
        <v>12</v>
      </c>
      <c r="E150" s="58">
        <v>26910</v>
      </c>
      <c r="F150" s="41">
        <v>240</v>
      </c>
      <c r="G150" s="9">
        <v>12</v>
      </c>
      <c r="H150" s="9">
        <v>2</v>
      </c>
      <c r="I150" s="59">
        <f>'Прил 6'!J423</f>
        <v>1300000</v>
      </c>
      <c r="J150" s="59">
        <f>'Прил 6'!K423</f>
        <v>1300000</v>
      </c>
      <c r="K150" s="59">
        <f>'Прил 6'!L423</f>
        <v>512573.06</v>
      </c>
    </row>
    <row r="151" spans="1:11" ht="46.8">
      <c r="A151" s="57" t="s">
        <v>160</v>
      </c>
      <c r="B151" s="58" t="s">
        <v>47</v>
      </c>
      <c r="C151" s="10" t="s">
        <v>14</v>
      </c>
      <c r="D151" s="58" t="s">
        <v>15</v>
      </c>
      <c r="E151" s="58" t="s">
        <v>16</v>
      </c>
      <c r="F151" s="41"/>
      <c r="G151" s="9"/>
      <c r="H151" s="9"/>
      <c r="I151" s="59">
        <f>I152+I154+I156+I158+I160</f>
        <v>10000</v>
      </c>
      <c r="J151" s="59">
        <f t="shared" ref="J151:K151" si="46">J152+J154+J156+J158+J160</f>
        <v>10000</v>
      </c>
      <c r="K151" s="59">
        <f t="shared" si="46"/>
        <v>0</v>
      </c>
    </row>
    <row r="152" spans="1:11" ht="46.8" hidden="1">
      <c r="A152" s="57" t="s">
        <v>328</v>
      </c>
      <c r="B152" s="58" t="s">
        <v>47</v>
      </c>
      <c r="C152" s="10">
        <v>0</v>
      </c>
      <c r="D152" s="58" t="s">
        <v>12</v>
      </c>
      <c r="E152" s="58" t="s">
        <v>16</v>
      </c>
      <c r="F152" s="41"/>
      <c r="G152" s="9"/>
      <c r="H152" s="9"/>
      <c r="I152" s="59">
        <f>I153</f>
        <v>0</v>
      </c>
      <c r="J152" s="59">
        <f t="shared" ref="J152:K152" si="47">J153</f>
        <v>0</v>
      </c>
      <c r="K152" s="59">
        <f t="shared" si="47"/>
        <v>0</v>
      </c>
    </row>
    <row r="153" spans="1:11" ht="31.2" hidden="1">
      <c r="A153" s="57" t="s">
        <v>329</v>
      </c>
      <c r="B153" s="58" t="s">
        <v>47</v>
      </c>
      <c r="C153" s="10">
        <v>0</v>
      </c>
      <c r="D153" s="58" t="s">
        <v>12</v>
      </c>
      <c r="E153" s="58" t="s">
        <v>330</v>
      </c>
      <c r="F153" s="41">
        <v>240</v>
      </c>
      <c r="G153" s="9">
        <v>1</v>
      </c>
      <c r="H153" s="9">
        <v>13</v>
      </c>
      <c r="I153" s="59"/>
      <c r="J153" s="59"/>
      <c r="K153" s="59"/>
    </row>
    <row r="154" spans="1:11" ht="46.8">
      <c r="A154" s="57" t="s">
        <v>161</v>
      </c>
      <c r="B154" s="58" t="s">
        <v>47</v>
      </c>
      <c r="C154" s="10">
        <v>0</v>
      </c>
      <c r="D154" s="58" t="s">
        <v>13</v>
      </c>
      <c r="E154" s="58" t="s">
        <v>16</v>
      </c>
      <c r="F154" s="41"/>
      <c r="G154" s="9"/>
      <c r="H154" s="9"/>
      <c r="I154" s="59">
        <f>I155</f>
        <v>10000</v>
      </c>
      <c r="J154" s="59">
        <f t="shared" ref="J154:K154" si="48">J155</f>
        <v>10000</v>
      </c>
      <c r="K154" s="59">
        <f t="shared" si="48"/>
        <v>0</v>
      </c>
    </row>
    <row r="155" spans="1:11">
      <c r="A155" s="11" t="s">
        <v>162</v>
      </c>
      <c r="B155" s="58" t="s">
        <v>47</v>
      </c>
      <c r="C155" s="10">
        <v>0</v>
      </c>
      <c r="D155" s="58" t="s">
        <v>13</v>
      </c>
      <c r="E155" s="58" t="s">
        <v>163</v>
      </c>
      <c r="F155" s="41">
        <v>240</v>
      </c>
      <c r="G155" s="9">
        <v>1</v>
      </c>
      <c r="H155" s="9">
        <v>13</v>
      </c>
      <c r="I155" s="59">
        <f>'Прил 6'!J119</f>
        <v>10000</v>
      </c>
      <c r="J155" s="59">
        <f>'Прил 6'!K119</f>
        <v>10000</v>
      </c>
      <c r="K155" s="59">
        <f>'Прил 6'!L119</f>
        <v>0</v>
      </c>
    </row>
    <row r="156" spans="1:11" ht="62.4" hidden="1">
      <c r="A156" s="11" t="s">
        <v>164</v>
      </c>
      <c r="B156" s="58" t="s">
        <v>47</v>
      </c>
      <c r="C156" s="10">
        <v>0</v>
      </c>
      <c r="D156" s="58" t="s">
        <v>19</v>
      </c>
      <c r="E156" s="58" t="s">
        <v>16</v>
      </c>
      <c r="F156" s="41"/>
      <c r="G156" s="9"/>
      <c r="H156" s="9"/>
      <c r="I156" s="59">
        <f>I157</f>
        <v>0</v>
      </c>
      <c r="J156" s="59">
        <f t="shared" ref="J156:K156" si="49">J157</f>
        <v>0</v>
      </c>
      <c r="K156" s="59">
        <f t="shared" si="49"/>
        <v>0</v>
      </c>
    </row>
    <row r="157" spans="1:11" ht="31.2" hidden="1">
      <c r="A157" s="11" t="s">
        <v>165</v>
      </c>
      <c r="B157" s="58" t="s">
        <v>47</v>
      </c>
      <c r="C157" s="10">
        <v>0</v>
      </c>
      <c r="D157" s="58" t="s">
        <v>19</v>
      </c>
      <c r="E157" s="58" t="s">
        <v>166</v>
      </c>
      <c r="F157" s="41">
        <v>240</v>
      </c>
      <c r="G157" s="9">
        <v>1</v>
      </c>
      <c r="H157" s="9">
        <v>13</v>
      </c>
      <c r="I157" s="59">
        <f>'Прил 6'!J122</f>
        <v>0</v>
      </c>
      <c r="J157" s="59">
        <f>'Прил 6'!K122</f>
        <v>0</v>
      </c>
      <c r="K157" s="59">
        <f>'Прил 6'!L122</f>
        <v>0</v>
      </c>
    </row>
    <row r="158" spans="1:11" ht="62.4" hidden="1">
      <c r="A158" s="11" t="s">
        <v>331</v>
      </c>
      <c r="B158" s="58" t="s">
        <v>47</v>
      </c>
      <c r="C158" s="10">
        <v>0</v>
      </c>
      <c r="D158" s="58" t="s">
        <v>31</v>
      </c>
      <c r="E158" s="58" t="s">
        <v>16</v>
      </c>
      <c r="F158" s="41"/>
      <c r="G158" s="9"/>
      <c r="H158" s="9"/>
      <c r="I158" s="59">
        <f>I159</f>
        <v>0</v>
      </c>
      <c r="J158" s="59">
        <f t="shared" ref="J158:K158" si="50">J159</f>
        <v>0</v>
      </c>
      <c r="K158" s="59">
        <f t="shared" si="50"/>
        <v>0</v>
      </c>
    </row>
    <row r="159" spans="1:11" ht="31.2" hidden="1">
      <c r="A159" s="11" t="s">
        <v>332</v>
      </c>
      <c r="B159" s="58" t="s">
        <v>47</v>
      </c>
      <c r="C159" s="10">
        <v>0</v>
      </c>
      <c r="D159" s="58" t="s">
        <v>31</v>
      </c>
      <c r="E159" s="58" t="s">
        <v>333</v>
      </c>
      <c r="F159" s="41">
        <v>240</v>
      </c>
      <c r="G159" s="9">
        <v>1</v>
      </c>
      <c r="H159" s="9">
        <v>13</v>
      </c>
      <c r="I159" s="59">
        <f>'Прил 6'!J125</f>
        <v>0</v>
      </c>
      <c r="J159" s="59">
        <f>'Прил 6'!K125</f>
        <v>0</v>
      </c>
      <c r="K159" s="59">
        <f>'Прил 6'!L125</f>
        <v>0</v>
      </c>
    </row>
    <row r="160" spans="1:11" ht="62.4" hidden="1">
      <c r="A160" s="11" t="s">
        <v>334</v>
      </c>
      <c r="B160" s="58" t="s">
        <v>47</v>
      </c>
      <c r="C160" s="10">
        <v>0</v>
      </c>
      <c r="D160" s="58" t="s">
        <v>32</v>
      </c>
      <c r="E160" s="58" t="s">
        <v>16</v>
      </c>
      <c r="F160" s="41"/>
      <c r="G160" s="9"/>
      <c r="H160" s="9"/>
      <c r="I160" s="59">
        <f>I161</f>
        <v>0</v>
      </c>
      <c r="J160" s="59">
        <f t="shared" ref="J160:K160" si="51">J161</f>
        <v>0</v>
      </c>
      <c r="K160" s="59">
        <f t="shared" si="51"/>
        <v>0</v>
      </c>
    </row>
    <row r="161" spans="1:11" ht="31.2" hidden="1">
      <c r="A161" s="11" t="s">
        <v>167</v>
      </c>
      <c r="B161" s="58" t="s">
        <v>47</v>
      </c>
      <c r="C161" s="10">
        <v>0</v>
      </c>
      <c r="D161" s="58" t="s">
        <v>32</v>
      </c>
      <c r="E161" s="58" t="s">
        <v>168</v>
      </c>
      <c r="F161" s="41">
        <v>240</v>
      </c>
      <c r="G161" s="9">
        <v>1</v>
      </c>
      <c r="H161" s="9">
        <v>13</v>
      </c>
      <c r="I161" s="59">
        <f>'Прил 6'!J128</f>
        <v>0</v>
      </c>
      <c r="J161" s="59">
        <f>'Прил 6'!K128</f>
        <v>0</v>
      </c>
      <c r="K161" s="59">
        <f>'Прил 6'!L128</f>
        <v>0</v>
      </c>
    </row>
    <row r="162" spans="1:11" ht="46.8">
      <c r="A162" s="11" t="s">
        <v>274</v>
      </c>
      <c r="B162" s="58" t="s">
        <v>62</v>
      </c>
      <c r="C162" s="10">
        <v>0</v>
      </c>
      <c r="D162" s="58" t="s">
        <v>15</v>
      </c>
      <c r="E162" s="58" t="s">
        <v>16</v>
      </c>
      <c r="F162" s="41"/>
      <c r="G162" s="9"/>
      <c r="H162" s="9"/>
      <c r="I162" s="59">
        <f>I163</f>
        <v>131046.35000000009</v>
      </c>
      <c r="J162" s="59">
        <f t="shared" ref="J162:K162" si="52">J163</f>
        <v>131046.35</v>
      </c>
      <c r="K162" s="59">
        <f t="shared" si="52"/>
        <v>131046.34</v>
      </c>
    </row>
    <row r="163" spans="1:11" ht="46.8">
      <c r="A163" s="11" t="s">
        <v>381</v>
      </c>
      <c r="B163" s="58" t="s">
        <v>62</v>
      </c>
      <c r="C163" s="10">
        <v>1</v>
      </c>
      <c r="D163" s="58" t="s">
        <v>15</v>
      </c>
      <c r="E163" s="58" t="s">
        <v>16</v>
      </c>
      <c r="F163" s="41"/>
      <c r="G163" s="9"/>
      <c r="H163" s="9"/>
      <c r="I163" s="59">
        <f>I164+I166+I168</f>
        <v>131046.35000000009</v>
      </c>
      <c r="J163" s="59">
        <f t="shared" ref="J163:K163" si="53">J164+J166+J168</f>
        <v>131046.35</v>
      </c>
      <c r="K163" s="59">
        <f t="shared" si="53"/>
        <v>131046.34</v>
      </c>
    </row>
    <row r="164" spans="1:11" hidden="1">
      <c r="A164" s="11" t="s">
        <v>276</v>
      </c>
      <c r="B164" s="58" t="s">
        <v>62</v>
      </c>
      <c r="C164" s="10">
        <v>1</v>
      </c>
      <c r="D164" s="58" t="s">
        <v>12</v>
      </c>
      <c r="E164" s="58" t="s">
        <v>16</v>
      </c>
      <c r="F164" s="41"/>
      <c r="G164" s="9"/>
      <c r="H164" s="9"/>
      <c r="I164" s="59">
        <f>I165</f>
        <v>0</v>
      </c>
      <c r="J164" s="59">
        <f t="shared" ref="J164:K164" si="54">J165</f>
        <v>0</v>
      </c>
      <c r="K164" s="59">
        <f t="shared" si="54"/>
        <v>0</v>
      </c>
    </row>
    <row r="165" spans="1:11" hidden="1">
      <c r="A165" s="11" t="s">
        <v>382</v>
      </c>
      <c r="B165" s="58" t="s">
        <v>62</v>
      </c>
      <c r="C165" s="10">
        <v>1</v>
      </c>
      <c r="D165" s="58" t="s">
        <v>12</v>
      </c>
      <c r="E165" s="58" t="s">
        <v>278</v>
      </c>
      <c r="F165" s="41">
        <v>240</v>
      </c>
      <c r="G165" s="9">
        <v>5</v>
      </c>
      <c r="H165" s="9">
        <v>3</v>
      </c>
      <c r="I165" s="59">
        <f>'Прил 6'!J292</f>
        <v>0</v>
      </c>
      <c r="J165" s="59">
        <f>'Прил 6'!K292</f>
        <v>0</v>
      </c>
      <c r="K165" s="59">
        <f>'Прил 6'!L292</f>
        <v>0</v>
      </c>
    </row>
    <row r="166" spans="1:11" ht="31.2" hidden="1">
      <c r="A166" s="11" t="s">
        <v>279</v>
      </c>
      <c r="B166" s="58" t="s">
        <v>62</v>
      </c>
      <c r="C166" s="10">
        <v>1</v>
      </c>
      <c r="D166" s="58" t="s">
        <v>13</v>
      </c>
      <c r="E166" s="58" t="s">
        <v>16</v>
      </c>
      <c r="F166" s="41"/>
      <c r="G166" s="9"/>
      <c r="H166" s="9"/>
      <c r="I166" s="59">
        <f>I167</f>
        <v>0</v>
      </c>
      <c r="J166" s="59">
        <f t="shared" ref="J166:K166" si="55">J167</f>
        <v>0</v>
      </c>
      <c r="K166" s="59">
        <f t="shared" si="55"/>
        <v>0</v>
      </c>
    </row>
    <row r="167" spans="1:11" ht="93.6" hidden="1">
      <c r="A167" s="11" t="s">
        <v>383</v>
      </c>
      <c r="B167" s="58" t="s">
        <v>62</v>
      </c>
      <c r="C167" s="10">
        <v>1</v>
      </c>
      <c r="D167" s="58" t="s">
        <v>13</v>
      </c>
      <c r="E167" s="58" t="s">
        <v>278</v>
      </c>
      <c r="F167" s="41">
        <v>240</v>
      </c>
      <c r="G167" s="9">
        <v>5</v>
      </c>
      <c r="H167" s="9">
        <v>3</v>
      </c>
      <c r="I167" s="59">
        <f>'Прил 6'!J295</f>
        <v>0</v>
      </c>
      <c r="J167" s="59">
        <f>'Прил 6'!K295</f>
        <v>0</v>
      </c>
      <c r="K167" s="59">
        <f>'Прил 6'!L295</f>
        <v>0</v>
      </c>
    </row>
    <row r="168" spans="1:11" ht="93.6">
      <c r="A168" s="11" t="s">
        <v>280</v>
      </c>
      <c r="B168" s="58" t="s">
        <v>62</v>
      </c>
      <c r="C168" s="10">
        <v>1</v>
      </c>
      <c r="D168" s="58" t="s">
        <v>73</v>
      </c>
      <c r="E168" s="58" t="s">
        <v>16</v>
      </c>
      <c r="F168" s="41"/>
      <c r="G168" s="9"/>
      <c r="H168" s="9"/>
      <c r="I168" s="59">
        <f>I169</f>
        <v>131046.35000000009</v>
      </c>
      <c r="J168" s="59">
        <f t="shared" ref="J168:K168" si="56">J169</f>
        <v>131046.35</v>
      </c>
      <c r="K168" s="59">
        <f t="shared" si="56"/>
        <v>131046.34</v>
      </c>
    </row>
    <row r="169" spans="1:11" ht="78">
      <c r="A169" s="11" t="s">
        <v>277</v>
      </c>
      <c r="B169" s="58" t="s">
        <v>62</v>
      </c>
      <c r="C169" s="10">
        <v>1</v>
      </c>
      <c r="D169" s="58" t="s">
        <v>73</v>
      </c>
      <c r="E169" s="58" t="s">
        <v>74</v>
      </c>
      <c r="F169" s="41">
        <v>540</v>
      </c>
      <c r="G169" s="9">
        <v>5</v>
      </c>
      <c r="H169" s="9">
        <v>3</v>
      </c>
      <c r="I169" s="59">
        <f>'Прил 6'!J298</f>
        <v>131046.35000000009</v>
      </c>
      <c r="J169" s="59">
        <f>'Прил 6'!K298</f>
        <v>131046.35</v>
      </c>
      <c r="K169" s="59">
        <f>'Прил 6'!L298</f>
        <v>131046.34</v>
      </c>
    </row>
    <row r="170" spans="1:11">
      <c r="A170" s="60" t="s">
        <v>91</v>
      </c>
      <c r="B170" s="61"/>
      <c r="C170" s="61"/>
      <c r="D170" s="61"/>
      <c r="E170" s="61"/>
      <c r="F170" s="61"/>
      <c r="G170" s="61"/>
      <c r="H170" s="61"/>
      <c r="I170" s="68">
        <f>I12+I20+I37+I71+I74+I85+I108+I134+I140+I142+I146+I151+I162</f>
        <v>171900222.76000002</v>
      </c>
      <c r="J170" s="68">
        <f>J12+J20+J37+J71+J74+J85+J108+J134+J140+J142+J146+J151+J162</f>
        <v>171900222.76000002</v>
      </c>
      <c r="K170" s="68">
        <f>K12+K20+K37+K71+K74+K85+K108+K134+K140+K142+K146+K151+K162</f>
        <v>116099796.28000002</v>
      </c>
    </row>
  </sheetData>
  <mergeCells count="8">
    <mergeCell ref="B11:E11"/>
    <mergeCell ref="A8:K8"/>
    <mergeCell ref="H6:K6"/>
    <mergeCell ref="H1:K1"/>
    <mergeCell ref="H2:K2"/>
    <mergeCell ref="H4:K4"/>
    <mergeCell ref="H3:K3"/>
    <mergeCell ref="H5:K5"/>
  </mergeCells>
  <pageMargins left="0.78740157480314965" right="0.19685039370078741" top="0.39370078740157483" bottom="0.39370078740157483" header="0.19685039370078741" footer="0.19685039370078741"/>
  <pageSetup paperSize="9" scale="88" fitToHeight="0" orientation="landscape" r:id="rId1"/>
  <headerFooter differentFirst="1">
    <oddHeader>&amp;C&amp;"PT Astra Serif,обычный"&amp;8&amp;K000000&amp;P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80"/>
  </sheetPr>
  <dimension ref="A1:K25"/>
  <sheetViews>
    <sheetView view="pageBreakPreview" topLeftCell="A10" zoomScaleNormal="100" zoomScaleSheetLayoutView="100" workbookViewId="0">
      <selection activeCell="G14" sqref="G14"/>
    </sheetView>
  </sheetViews>
  <sheetFormatPr defaultColWidth="8.88671875" defaultRowHeight="15.6"/>
  <cols>
    <col min="1" max="1" width="81.109375" style="137" customWidth="1"/>
    <col min="2" max="3" width="4.44140625" style="150" customWidth="1"/>
    <col min="4" max="6" width="4.33203125" style="150" customWidth="1"/>
    <col min="7" max="7" width="8.6640625" style="150" customWidth="1"/>
    <col min="8" max="8" width="7.5546875" style="150" customWidth="1"/>
    <col min="9" max="9" width="16.6640625" style="151" customWidth="1"/>
    <col min="10" max="10" width="13.6640625" style="138" customWidth="1"/>
    <col min="11" max="11" width="13.109375" style="138" customWidth="1"/>
    <col min="12" max="16384" width="8.88671875" style="138"/>
  </cols>
  <sheetData>
    <row r="1" spans="1:11" ht="15.75" customHeight="1">
      <c r="A1" s="139"/>
      <c r="B1" s="185"/>
      <c r="C1" s="185"/>
      <c r="D1" s="185"/>
      <c r="E1" s="185"/>
      <c r="F1" s="185"/>
      <c r="G1" s="185"/>
      <c r="H1" s="265" t="s">
        <v>339</v>
      </c>
      <c r="I1" s="265"/>
      <c r="J1" s="265"/>
      <c r="K1" s="265"/>
    </row>
    <row r="2" spans="1:11" ht="15.75" customHeight="1">
      <c r="A2" s="139"/>
      <c r="B2" s="186"/>
      <c r="C2" s="186"/>
      <c r="D2" s="186"/>
      <c r="E2" s="186"/>
      <c r="F2" s="186"/>
      <c r="G2" s="186"/>
      <c r="H2" s="266" t="s">
        <v>3</v>
      </c>
      <c r="I2" s="266"/>
      <c r="J2" s="266"/>
      <c r="K2" s="266"/>
    </row>
    <row r="3" spans="1:11" ht="15.75" customHeight="1">
      <c r="A3" s="139"/>
      <c r="B3" s="185"/>
      <c r="C3" s="185"/>
      <c r="D3" s="185"/>
      <c r="E3" s="185"/>
      <c r="F3" s="185"/>
      <c r="G3" s="185"/>
      <c r="H3" s="265" t="s">
        <v>486</v>
      </c>
      <c r="I3" s="265"/>
      <c r="J3" s="265"/>
      <c r="K3" s="265"/>
    </row>
    <row r="4" spans="1:11" ht="15.75" customHeight="1">
      <c r="A4" s="139"/>
      <c r="B4" s="185"/>
      <c r="C4" s="185"/>
      <c r="D4" s="185"/>
      <c r="E4" s="185"/>
      <c r="F4" s="185"/>
      <c r="G4" s="185"/>
      <c r="H4" s="265" t="s">
        <v>487</v>
      </c>
      <c r="I4" s="265"/>
      <c r="J4" s="265"/>
      <c r="K4" s="265"/>
    </row>
    <row r="5" spans="1:11" ht="15.75" customHeight="1">
      <c r="A5" s="139"/>
      <c r="B5" s="185"/>
      <c r="C5" s="185"/>
      <c r="D5" s="185"/>
      <c r="E5" s="185"/>
      <c r="F5" s="185"/>
      <c r="G5" s="185"/>
      <c r="H5" s="265" t="s">
        <v>488</v>
      </c>
      <c r="I5" s="265"/>
      <c r="J5" s="265"/>
      <c r="K5" s="265"/>
    </row>
    <row r="6" spans="1:11">
      <c r="A6" s="139"/>
      <c r="B6" s="185"/>
      <c r="C6" s="185"/>
      <c r="D6" s="185"/>
      <c r="E6" s="185"/>
      <c r="F6" s="185"/>
      <c r="G6" s="185"/>
      <c r="H6" s="265" t="s">
        <v>489</v>
      </c>
      <c r="I6" s="265"/>
      <c r="J6" s="265"/>
      <c r="K6" s="265"/>
    </row>
    <row r="7" spans="1:11">
      <c r="A7" s="139"/>
      <c r="B7" s="140"/>
      <c r="C7" s="140"/>
      <c r="D7" s="140"/>
      <c r="E7" s="140"/>
      <c r="F7" s="140"/>
      <c r="G7" s="140"/>
      <c r="H7" s="140"/>
      <c r="I7" s="141"/>
    </row>
    <row r="8" spans="1:11" ht="78" customHeight="1">
      <c r="A8" s="267" t="s">
        <v>618</v>
      </c>
      <c r="B8" s="267"/>
      <c r="C8" s="267"/>
      <c r="D8" s="267"/>
      <c r="E8" s="267"/>
      <c r="F8" s="267"/>
      <c r="G8" s="267"/>
      <c r="H8" s="267"/>
      <c r="I8" s="267"/>
      <c r="J8" s="267"/>
      <c r="K8" s="267"/>
    </row>
    <row r="9" spans="1:11">
      <c r="A9" s="142"/>
      <c r="B9" s="143"/>
      <c r="C9" s="143"/>
      <c r="D9" s="143"/>
      <c r="E9" s="143"/>
      <c r="F9" s="143"/>
      <c r="G9" s="143"/>
      <c r="H9" s="143"/>
      <c r="I9" s="144"/>
    </row>
    <row r="10" spans="1:11">
      <c r="A10" s="183"/>
      <c r="B10" s="183"/>
      <c r="C10" s="183"/>
      <c r="D10" s="183"/>
      <c r="E10" s="183"/>
      <c r="F10" s="183"/>
      <c r="G10" s="183"/>
      <c r="H10" s="183"/>
      <c r="I10" s="183"/>
      <c r="K10" s="184" t="s">
        <v>2</v>
      </c>
    </row>
    <row r="11" spans="1:11" ht="120" customHeight="1">
      <c r="A11" s="268" t="s">
        <v>6</v>
      </c>
      <c r="B11" s="270" t="s">
        <v>0</v>
      </c>
      <c r="C11" s="271"/>
      <c r="D11" s="271"/>
      <c r="E11" s="271"/>
      <c r="F11" s="271"/>
      <c r="G11" s="271"/>
      <c r="H11" s="272"/>
      <c r="I11" s="261" t="s">
        <v>491</v>
      </c>
      <c r="J11" s="253" t="s">
        <v>490</v>
      </c>
      <c r="K11" s="253" t="s">
        <v>492</v>
      </c>
    </row>
    <row r="12" spans="1:11" ht="107.4" customHeight="1">
      <c r="A12" s="269"/>
      <c r="B12" s="145" t="s">
        <v>7</v>
      </c>
      <c r="C12" s="145" t="s">
        <v>8</v>
      </c>
      <c r="D12" s="270" t="s">
        <v>9</v>
      </c>
      <c r="E12" s="271"/>
      <c r="F12" s="271"/>
      <c r="G12" s="272"/>
      <c r="H12" s="145" t="s">
        <v>10</v>
      </c>
      <c r="I12" s="262"/>
      <c r="J12" s="254"/>
      <c r="K12" s="254"/>
    </row>
    <row r="13" spans="1:11" ht="46.8">
      <c r="A13" s="153" t="s">
        <v>588</v>
      </c>
      <c r="B13" s="154" t="s">
        <v>341</v>
      </c>
      <c r="C13" s="154" t="s">
        <v>341</v>
      </c>
      <c r="D13" s="155" t="s">
        <v>341</v>
      </c>
      <c r="E13" s="156" t="s">
        <v>341</v>
      </c>
      <c r="F13" s="156"/>
      <c r="G13" s="157" t="s">
        <v>341</v>
      </c>
      <c r="H13" s="158" t="s">
        <v>341</v>
      </c>
      <c r="I13" s="159">
        <f>I14</f>
        <v>627808</v>
      </c>
      <c r="J13" s="159">
        <f t="shared" ref="J13:K17" si="0">J14</f>
        <v>627808</v>
      </c>
      <c r="K13" s="159">
        <f t="shared" si="0"/>
        <v>486997.5</v>
      </c>
    </row>
    <row r="14" spans="1:11">
      <c r="A14" s="148" t="s">
        <v>84</v>
      </c>
      <c r="B14" s="146" t="s">
        <v>38</v>
      </c>
      <c r="C14" s="146" t="s">
        <v>19</v>
      </c>
      <c r="D14" s="146"/>
      <c r="E14" s="146"/>
      <c r="F14" s="146"/>
      <c r="G14" s="146"/>
      <c r="H14" s="147"/>
      <c r="I14" s="159">
        <f>I15</f>
        <v>627808</v>
      </c>
      <c r="J14" s="159">
        <f t="shared" si="0"/>
        <v>627808</v>
      </c>
      <c r="K14" s="159">
        <f t="shared" si="0"/>
        <v>486997.5</v>
      </c>
    </row>
    <row r="15" spans="1:11">
      <c r="A15" s="149" t="s">
        <v>316</v>
      </c>
      <c r="B15" s="146" t="s">
        <v>38</v>
      </c>
      <c r="C15" s="146" t="s">
        <v>19</v>
      </c>
      <c r="D15" s="146" t="s">
        <v>317</v>
      </c>
      <c r="E15" s="147"/>
      <c r="F15" s="146"/>
      <c r="G15" s="146"/>
      <c r="H15" s="147"/>
      <c r="I15" s="159">
        <f>I16</f>
        <v>627808</v>
      </c>
      <c r="J15" s="159">
        <f t="shared" si="0"/>
        <v>627808</v>
      </c>
      <c r="K15" s="159">
        <f t="shared" si="0"/>
        <v>486997.5</v>
      </c>
    </row>
    <row r="16" spans="1:11">
      <c r="A16" s="149" t="s">
        <v>318</v>
      </c>
      <c r="B16" s="146" t="s">
        <v>38</v>
      </c>
      <c r="C16" s="146" t="s">
        <v>19</v>
      </c>
      <c r="D16" s="146" t="s">
        <v>317</v>
      </c>
      <c r="E16" s="147">
        <v>3</v>
      </c>
      <c r="F16" s="146"/>
      <c r="G16" s="146"/>
      <c r="H16" s="147"/>
      <c r="I16" s="159">
        <f>I17</f>
        <v>627808</v>
      </c>
      <c r="J16" s="159">
        <f t="shared" si="0"/>
        <v>627808</v>
      </c>
      <c r="K16" s="159">
        <f t="shared" si="0"/>
        <v>486997.5</v>
      </c>
    </row>
    <row r="17" spans="1:11" ht="31.2">
      <c r="A17" s="149" t="s">
        <v>319</v>
      </c>
      <c r="B17" s="146" t="s">
        <v>38</v>
      </c>
      <c r="C17" s="146" t="s">
        <v>19</v>
      </c>
      <c r="D17" s="146" t="s">
        <v>317</v>
      </c>
      <c r="E17" s="147">
        <v>3</v>
      </c>
      <c r="F17" s="146" t="s">
        <v>15</v>
      </c>
      <c r="G17" s="146" t="s">
        <v>320</v>
      </c>
      <c r="H17" s="147"/>
      <c r="I17" s="159">
        <f>I18</f>
        <v>627808</v>
      </c>
      <c r="J17" s="159">
        <f t="shared" si="0"/>
        <v>627808</v>
      </c>
      <c r="K17" s="159">
        <f t="shared" si="0"/>
        <v>486997.5</v>
      </c>
    </row>
    <row r="18" spans="1:11" ht="31.2">
      <c r="A18" s="149" t="s">
        <v>229</v>
      </c>
      <c r="B18" s="146" t="s">
        <v>38</v>
      </c>
      <c r="C18" s="146" t="s">
        <v>19</v>
      </c>
      <c r="D18" s="146" t="s">
        <v>317</v>
      </c>
      <c r="E18" s="147">
        <v>3</v>
      </c>
      <c r="F18" s="146" t="s">
        <v>15</v>
      </c>
      <c r="G18" s="146" t="s">
        <v>320</v>
      </c>
      <c r="H18" s="147">
        <v>810</v>
      </c>
      <c r="I18" s="159">
        <f>'Прил 6'!J401</f>
        <v>627808</v>
      </c>
      <c r="J18" s="159">
        <f>'Прил 6'!K401</f>
        <v>627808</v>
      </c>
      <c r="K18" s="159">
        <f>'Прил 6'!L401</f>
        <v>486997.5</v>
      </c>
    </row>
    <row r="19" spans="1:11" ht="46.8">
      <c r="A19" s="153" t="s">
        <v>589</v>
      </c>
      <c r="B19" s="154" t="s">
        <v>341</v>
      </c>
      <c r="C19" s="154" t="s">
        <v>341</v>
      </c>
      <c r="D19" s="155" t="s">
        <v>341</v>
      </c>
      <c r="E19" s="156" t="s">
        <v>341</v>
      </c>
      <c r="F19" s="156"/>
      <c r="G19" s="157" t="s">
        <v>341</v>
      </c>
      <c r="H19" s="158" t="s">
        <v>341</v>
      </c>
      <c r="I19" s="159">
        <f>I20</f>
        <v>40000</v>
      </c>
      <c r="J19" s="159">
        <f t="shared" ref="J19:K23" si="1">J20</f>
        <v>40000</v>
      </c>
      <c r="K19" s="159">
        <f t="shared" si="1"/>
        <v>15000</v>
      </c>
    </row>
    <row r="20" spans="1:11">
      <c r="A20" s="148" t="s">
        <v>84</v>
      </c>
      <c r="B20" s="154">
        <v>10</v>
      </c>
      <c r="C20" s="154">
        <v>3</v>
      </c>
      <c r="D20" s="155"/>
      <c r="E20" s="156"/>
      <c r="F20" s="156"/>
      <c r="G20" s="157"/>
      <c r="H20" s="158" t="s">
        <v>341</v>
      </c>
      <c r="I20" s="159">
        <f>I21</f>
        <v>40000</v>
      </c>
      <c r="J20" s="159">
        <f t="shared" si="1"/>
        <v>40000</v>
      </c>
      <c r="K20" s="159">
        <f t="shared" si="1"/>
        <v>15000</v>
      </c>
    </row>
    <row r="21" spans="1:11">
      <c r="A21" s="149" t="s">
        <v>27</v>
      </c>
      <c r="B21" s="146" t="s">
        <v>38</v>
      </c>
      <c r="C21" s="146" t="s">
        <v>19</v>
      </c>
      <c r="D21" s="146" t="s">
        <v>28</v>
      </c>
      <c r="E21" s="147"/>
      <c r="F21" s="146"/>
      <c r="G21" s="160"/>
      <c r="H21" s="147"/>
      <c r="I21" s="159">
        <f>I22</f>
        <v>40000</v>
      </c>
      <c r="J21" s="159">
        <f t="shared" si="1"/>
        <v>40000</v>
      </c>
      <c r="K21" s="159">
        <f t="shared" si="1"/>
        <v>15000</v>
      </c>
    </row>
    <row r="22" spans="1:11">
      <c r="A22" s="149" t="s">
        <v>174</v>
      </c>
      <c r="B22" s="146" t="s">
        <v>38</v>
      </c>
      <c r="C22" s="146" t="s">
        <v>19</v>
      </c>
      <c r="D22" s="146" t="s">
        <v>28</v>
      </c>
      <c r="E22" s="147">
        <v>9</v>
      </c>
      <c r="F22" s="146"/>
      <c r="G22" s="160"/>
      <c r="H22" s="147"/>
      <c r="I22" s="159">
        <f>I23</f>
        <v>40000</v>
      </c>
      <c r="J22" s="159">
        <f t="shared" si="1"/>
        <v>40000</v>
      </c>
      <c r="K22" s="159">
        <f t="shared" si="1"/>
        <v>15000</v>
      </c>
    </row>
    <row r="23" spans="1:11">
      <c r="A23" s="149" t="s">
        <v>321</v>
      </c>
      <c r="B23" s="146" t="s">
        <v>38</v>
      </c>
      <c r="C23" s="146" t="s">
        <v>19</v>
      </c>
      <c r="D23" s="146" t="s">
        <v>28</v>
      </c>
      <c r="E23" s="147">
        <v>9</v>
      </c>
      <c r="F23" s="146" t="s">
        <v>15</v>
      </c>
      <c r="G23" s="160" t="s">
        <v>322</v>
      </c>
      <c r="H23" s="147"/>
      <c r="I23" s="159">
        <f>I24</f>
        <v>40000</v>
      </c>
      <c r="J23" s="159">
        <f t="shared" si="1"/>
        <v>40000</v>
      </c>
      <c r="K23" s="159">
        <f t="shared" si="1"/>
        <v>15000</v>
      </c>
    </row>
    <row r="24" spans="1:11">
      <c r="A24" s="149" t="s">
        <v>85</v>
      </c>
      <c r="B24" s="146" t="s">
        <v>38</v>
      </c>
      <c r="C24" s="146" t="s">
        <v>19</v>
      </c>
      <c r="D24" s="146" t="s">
        <v>28</v>
      </c>
      <c r="E24" s="147">
        <v>9</v>
      </c>
      <c r="F24" s="146" t="s">
        <v>15</v>
      </c>
      <c r="G24" s="160" t="s">
        <v>322</v>
      </c>
      <c r="H24" s="147">
        <v>310</v>
      </c>
      <c r="I24" s="159">
        <f>'Прил 6'!J405</f>
        <v>40000</v>
      </c>
      <c r="J24" s="159">
        <f>'Прил 6'!K405</f>
        <v>40000</v>
      </c>
      <c r="K24" s="159">
        <f>'Прил 6'!L405</f>
        <v>15000</v>
      </c>
    </row>
    <row r="25" spans="1:11">
      <c r="A25" s="161" t="s">
        <v>91</v>
      </c>
      <c r="B25" s="154" t="s">
        <v>341</v>
      </c>
      <c r="C25" s="154" t="s">
        <v>341</v>
      </c>
      <c r="D25" s="154" t="s">
        <v>341</v>
      </c>
      <c r="E25" s="156" t="s">
        <v>341</v>
      </c>
      <c r="F25" s="156"/>
      <c r="G25" s="162" t="s">
        <v>341</v>
      </c>
      <c r="H25" s="158" t="s">
        <v>341</v>
      </c>
      <c r="I25" s="163">
        <f>I13+I19</f>
        <v>667808</v>
      </c>
      <c r="J25" s="163">
        <f t="shared" ref="J25:K25" si="2">J13+J19</f>
        <v>667808</v>
      </c>
      <c r="K25" s="163">
        <f t="shared" si="2"/>
        <v>501997.5</v>
      </c>
    </row>
  </sheetData>
  <mergeCells count="13">
    <mergeCell ref="J11:J12"/>
    <mergeCell ref="K11:K12"/>
    <mergeCell ref="H1:K1"/>
    <mergeCell ref="H2:K2"/>
    <mergeCell ref="H3:K3"/>
    <mergeCell ref="H4:K4"/>
    <mergeCell ref="H5:K5"/>
    <mergeCell ref="H6:K6"/>
    <mergeCell ref="A8:K8"/>
    <mergeCell ref="A11:A12"/>
    <mergeCell ref="B11:H11"/>
    <mergeCell ref="I11:I12"/>
    <mergeCell ref="D12:G12"/>
  </mergeCells>
  <pageMargins left="0.78740157480314965" right="0.19685039370078741" top="0.39370078740157483" bottom="0.39370078740157483" header="0.19685039370078741" footer="0.19685039370078741"/>
  <pageSetup paperSize="9" scale="85" fitToHeight="0" orientation="landscape" r:id="rId1"/>
  <headerFooter differentFirst="1">
    <oddHeader>&amp;C&amp;"PT Astra Serif,обычный"&amp;8&amp;K000000&amp;P</oddHeader>
  </headerFooter>
  <rowBreaks count="1" manualBreakCount="1">
    <brk id="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8080"/>
  </sheetPr>
  <dimension ref="A1:D17"/>
  <sheetViews>
    <sheetView view="pageBreakPreview" zoomScaleNormal="100" zoomScaleSheetLayoutView="100" workbookViewId="0">
      <selection activeCell="B2" sqref="B2:D2"/>
    </sheetView>
  </sheetViews>
  <sheetFormatPr defaultColWidth="8.88671875" defaultRowHeight="15.6"/>
  <cols>
    <col min="1" max="1" width="68.6640625" style="137" customWidth="1"/>
    <col min="2" max="2" width="20.44140625" style="151" customWidth="1"/>
    <col min="3" max="3" width="17.5546875" style="151" customWidth="1"/>
    <col min="4" max="4" width="17.44140625" style="151" customWidth="1"/>
    <col min="5" max="16384" width="8.88671875" style="138"/>
  </cols>
  <sheetData>
    <row r="1" spans="1:4" ht="15.75" customHeight="1">
      <c r="A1" s="139"/>
      <c r="B1" s="273" t="s">
        <v>640</v>
      </c>
      <c r="C1" s="273"/>
      <c r="D1" s="273"/>
    </row>
    <row r="2" spans="1:4" ht="15.75" customHeight="1">
      <c r="A2" s="139"/>
      <c r="B2" s="273" t="s">
        <v>3</v>
      </c>
      <c r="C2" s="273"/>
      <c r="D2" s="273"/>
    </row>
    <row r="3" spans="1:4" ht="15.75" customHeight="1">
      <c r="A3" s="139"/>
      <c r="B3" s="273" t="s">
        <v>486</v>
      </c>
      <c r="C3" s="273"/>
      <c r="D3" s="273"/>
    </row>
    <row r="4" spans="1:4" ht="15.75" customHeight="1">
      <c r="A4" s="139"/>
      <c r="B4" s="273" t="s">
        <v>487</v>
      </c>
      <c r="C4" s="273"/>
      <c r="D4" s="273"/>
    </row>
    <row r="5" spans="1:4" ht="15.75" customHeight="1">
      <c r="A5" s="139"/>
      <c r="B5" s="273" t="s">
        <v>488</v>
      </c>
      <c r="C5" s="273"/>
      <c r="D5" s="273"/>
    </row>
    <row r="6" spans="1:4" ht="15.75" customHeight="1">
      <c r="A6" s="139"/>
      <c r="B6" s="274" t="s">
        <v>489</v>
      </c>
      <c r="C6" s="274"/>
      <c r="D6" s="274"/>
    </row>
    <row r="7" spans="1:4">
      <c r="A7" s="139"/>
      <c r="B7" s="141"/>
      <c r="C7" s="141"/>
      <c r="D7" s="141"/>
    </row>
    <row r="8" spans="1:4">
      <c r="A8" s="139"/>
      <c r="B8" s="141"/>
      <c r="C8" s="141"/>
      <c r="D8" s="141"/>
    </row>
    <row r="9" spans="1:4" ht="41.25" customHeight="1">
      <c r="A9" s="267" t="s">
        <v>641</v>
      </c>
      <c r="B9" s="267"/>
      <c r="C9" s="267"/>
      <c r="D9" s="267"/>
    </row>
    <row r="10" spans="1:4">
      <c r="A10" s="142"/>
      <c r="B10" s="144"/>
      <c r="C10" s="144"/>
      <c r="D10" s="144"/>
    </row>
    <row r="11" spans="1:4">
      <c r="A11" s="234"/>
      <c r="B11" s="234"/>
      <c r="C11" s="234"/>
      <c r="D11" s="235" t="s">
        <v>2</v>
      </c>
    </row>
    <row r="12" spans="1:4" ht="171.6">
      <c r="A12" s="187" t="s">
        <v>590</v>
      </c>
      <c r="B12" s="188" t="s">
        <v>491</v>
      </c>
      <c r="C12" s="102" t="s">
        <v>490</v>
      </c>
      <c r="D12" s="102" t="s">
        <v>492</v>
      </c>
    </row>
    <row r="13" spans="1:4">
      <c r="A13" s="164" t="s">
        <v>628</v>
      </c>
      <c r="B13" s="165">
        <v>10656678.470000001</v>
      </c>
      <c r="C13" s="165">
        <f>B13</f>
        <v>10656678.470000001</v>
      </c>
      <c r="D13" s="165">
        <v>10656678.470000001</v>
      </c>
    </row>
    <row r="14" spans="1:4">
      <c r="A14" s="164" t="s">
        <v>435</v>
      </c>
      <c r="B14" s="165">
        <f>'Прил 1'!C19*0.63</f>
        <v>40746258</v>
      </c>
      <c r="C14" s="165">
        <f>'Прил 1'!D19*0.63</f>
        <v>40746258</v>
      </c>
      <c r="D14" s="165">
        <f>('Прил 1'!E19+'Прил 1'!E22)*0.63</f>
        <v>39013509.975299999</v>
      </c>
    </row>
    <row r="15" spans="1:4">
      <c r="A15" s="166" t="s">
        <v>91</v>
      </c>
      <c r="B15" s="165">
        <f>SUM(B13:B14)</f>
        <v>51402936.469999999</v>
      </c>
      <c r="C15" s="165">
        <f t="shared" ref="C15:D15" si="0">SUM(C13:C14)</f>
        <v>51402936.469999999</v>
      </c>
      <c r="D15" s="165">
        <f t="shared" si="0"/>
        <v>49670188.445299998</v>
      </c>
    </row>
    <row r="16" spans="1:4">
      <c r="B16" s="152">
        <f>'Прил 6'!J193</f>
        <v>51402936.470000014</v>
      </c>
      <c r="C16" s="152">
        <f>'Прил 6'!K193</f>
        <v>51402936.469999999</v>
      </c>
      <c r="D16" s="152">
        <f>'Прил 6'!L193</f>
        <v>13666463.760000002</v>
      </c>
    </row>
    <row r="17" spans="2:4">
      <c r="B17" s="152">
        <f>B16-B15</f>
        <v>0</v>
      </c>
      <c r="C17" s="152">
        <f t="shared" ref="C17:D17" si="1">C16-C15</f>
        <v>0</v>
      </c>
      <c r="D17" s="152">
        <f t="shared" si="1"/>
        <v>-36003724.685299993</v>
      </c>
    </row>
  </sheetData>
  <mergeCells count="7">
    <mergeCell ref="A9:D9"/>
    <mergeCell ref="B1:D1"/>
    <mergeCell ref="B2:D2"/>
    <mergeCell ref="B3:D3"/>
    <mergeCell ref="B4:D4"/>
    <mergeCell ref="B5:D5"/>
    <mergeCell ref="B6:D6"/>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24</vt:i4>
      </vt:variant>
    </vt:vector>
  </HeadingPairs>
  <TitlesOfParts>
    <vt:vector size="36"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6'!__bookmark_1</vt:lpstr>
      <vt:lpstr>'Прил 7'!__bookmark_1</vt:lpstr>
      <vt:lpstr>'Прил 8'!__bookmark_1</vt:lpstr>
      <vt:lpstr>'Прил 9'!__bookmark_1</vt:lpstr>
      <vt:lpstr>__bookmark_1</vt:lpstr>
      <vt:lpstr>'Прил 1'!Заголовки_для_печати</vt:lpstr>
      <vt:lpstr>'Прил 11'!Заголовки_для_печати</vt:lpstr>
      <vt:lpstr>'Прил 2'!Заголовки_для_печати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10'!Область_печати</vt:lpstr>
      <vt:lpstr>'Прил 11'!Область_печати</vt:lpstr>
      <vt:lpstr>'Прил 12'!Область_печати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9'!Область_печати</vt:lpstr>
    </vt:vector>
  </TitlesOfParts>
  <Company>Департамент финансов Тульской области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Вовка</cp:lastModifiedBy>
  <cp:lastPrinted>2022-03-18T10:40:24Z</cp:lastPrinted>
  <dcterms:created xsi:type="dcterms:W3CDTF">2012-09-28T07:11:56Z</dcterms:created>
  <dcterms:modified xsi:type="dcterms:W3CDTF">2022-03-27T16:49:10Z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